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05" activeTab="0"/>
  </bookViews>
  <sheets>
    <sheet name="INAA Wet Deposition" sheetId="1" r:id="rId1"/>
  </sheets>
  <definedNames>
    <definedName name="_Fill" hidden="1">'INAA Wet Deposition'!$AM$35:$BO$40</definedName>
    <definedName name="_Regression_Int" localSheetId="0" hidden="1">1</definedName>
    <definedName name="_xlnm.Print_Area" localSheetId="0">'INAA Wet Deposition'!$B$1:$AJ$78</definedName>
    <definedName name="Print_Area_MI" localSheetId="0">'INAA Wet Deposition'!$B$1:$AJ$78</definedName>
    <definedName name="_xlnm.Print_Titles" localSheetId="0">'INAA Wet Deposition'!$A:$A</definedName>
    <definedName name="Print_Titles_MI" localSheetId="0">'INAA Wet Deposition'!$A:$A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<sst xmlns="http://schemas.openxmlformats.org/spreadsheetml/2006/main" count="232" uniqueCount="104">
  <si>
    <t>Sample ID</t>
  </si>
  <si>
    <t>Date</t>
  </si>
  <si>
    <t>Time (hrs)</t>
  </si>
  <si>
    <t>Rain (in)</t>
  </si>
  <si>
    <t>Fe</t>
  </si>
  <si>
    <t>Na</t>
  </si>
  <si>
    <t>K</t>
  </si>
  <si>
    <t>Cs</t>
  </si>
  <si>
    <t>Sc</t>
  </si>
  <si>
    <t>Cr</t>
  </si>
  <si>
    <t>Co</t>
  </si>
  <si>
    <t>Zn</t>
  </si>
  <si>
    <t>Ag</t>
  </si>
  <si>
    <t>Br</t>
  </si>
  <si>
    <t>As</t>
  </si>
  <si>
    <t>Sb</t>
  </si>
  <si>
    <t>Se</t>
  </si>
  <si>
    <t>La</t>
  </si>
  <si>
    <t>Ce</t>
  </si>
  <si>
    <t>Nd</t>
  </si>
  <si>
    <t>Sm</t>
  </si>
  <si>
    <t>Eu</t>
  </si>
  <si>
    <t>Gd</t>
  </si>
  <si>
    <t>Tb</t>
  </si>
  <si>
    <t>Tm</t>
  </si>
  <si>
    <t>Yb</t>
  </si>
  <si>
    <t>Hf</t>
  </si>
  <si>
    <t>Ta</t>
  </si>
  <si>
    <t>Ir</t>
  </si>
  <si>
    <t>Th</t>
  </si>
  <si>
    <t>U</t>
  </si>
  <si>
    <t>Rb</t>
  </si>
  <si>
    <t>Total Mass(ug)</t>
  </si>
  <si>
    <t>% Metals</t>
  </si>
  <si>
    <t>Non-Marine(ug)</t>
  </si>
  <si>
    <t>% Non-Marine</t>
  </si>
  <si>
    <t>Nahant Wet Deposition Samples (Sample mass - ng)</t>
  </si>
  <si>
    <t>7/7/92</t>
  </si>
  <si>
    <t xml:space="preserve"> </t>
  </si>
  <si>
    <t>Truro Wet Deposition Samples  (sample mass - ng)</t>
  </si>
  <si>
    <t xml:space="preserve"> 7/17/92</t>
  </si>
  <si>
    <t>(missing)</t>
  </si>
  <si>
    <t>7/22/92</t>
  </si>
  <si>
    <t>8/12/92</t>
  </si>
  <si>
    <t xml:space="preserve"> 9/1/92</t>
  </si>
  <si>
    <t>8/6/92</t>
  </si>
  <si>
    <t>9/15/92</t>
  </si>
  <si>
    <t>9/29/92</t>
  </si>
  <si>
    <t xml:space="preserve"> 8/19/92</t>
  </si>
  <si>
    <t>10/13/92</t>
  </si>
  <si>
    <t>9/2/92</t>
  </si>
  <si>
    <t>10/27/92</t>
  </si>
  <si>
    <t>9/16/92</t>
  </si>
  <si>
    <t>11/10/92</t>
  </si>
  <si>
    <t>9/30/92</t>
  </si>
  <si>
    <t>11/24/92</t>
  </si>
  <si>
    <t>10/14/92</t>
  </si>
  <si>
    <t>Malfunct.</t>
  </si>
  <si>
    <t>12/8/92</t>
  </si>
  <si>
    <t>12/24/92</t>
  </si>
  <si>
    <t xml:space="preserve"> 1/7/93</t>
  </si>
  <si>
    <t>11/23/92</t>
  </si>
  <si>
    <t>Q001</t>
  </si>
  <si>
    <t xml:space="preserve"> 1/21/93</t>
  </si>
  <si>
    <t>Destroyed</t>
  </si>
  <si>
    <t>12/7/92</t>
  </si>
  <si>
    <t xml:space="preserve"> 2/4/93</t>
  </si>
  <si>
    <t>12/21/92</t>
  </si>
  <si>
    <t xml:space="preserve"> 2/20/93</t>
  </si>
  <si>
    <t xml:space="preserve"> 1/6/93</t>
  </si>
  <si>
    <t xml:space="preserve"> 3/3/93</t>
  </si>
  <si>
    <t xml:space="preserve"> 1/20/93</t>
  </si>
  <si>
    <t xml:space="preserve"> 3/20/93</t>
  </si>
  <si>
    <t xml:space="preserve"> 2/2/93</t>
  </si>
  <si>
    <t xml:space="preserve"> 4/8/93</t>
  </si>
  <si>
    <t xml:space="preserve"> 2/15/93</t>
  </si>
  <si>
    <t xml:space="preserve"> 4/29/93</t>
  </si>
  <si>
    <t xml:space="preserve"> 3/2/93</t>
  </si>
  <si>
    <t xml:space="preserve"> 5/25/93</t>
  </si>
  <si>
    <t xml:space="preserve"> 3/16/93</t>
  </si>
  <si>
    <t xml:space="preserve"> 6/9/93</t>
  </si>
  <si>
    <t xml:space="preserve"> 3/30/93</t>
  </si>
  <si>
    <t xml:space="preserve"> 7/1/93</t>
  </si>
  <si>
    <t xml:space="preserve"> 4/14/93</t>
  </si>
  <si>
    <t xml:space="preserve"> 7/15/93</t>
  </si>
  <si>
    <t xml:space="preserve"> 4/27/93</t>
  </si>
  <si>
    <t xml:space="preserve"> 7/28/93</t>
  </si>
  <si>
    <t xml:space="preserve"> 5/13/93</t>
  </si>
  <si>
    <t xml:space="preserve"> 8/8/93</t>
  </si>
  <si>
    <t xml:space="preserve"> 5/26/93</t>
  </si>
  <si>
    <t xml:space="preserve"> 8/21/93</t>
  </si>
  <si>
    <t xml:space="preserve"> 9/1/93</t>
  </si>
  <si>
    <t xml:space="preserve"> 7/7/93</t>
  </si>
  <si>
    <t xml:space="preserve"> 7/22/93</t>
  </si>
  <si>
    <t xml:space="preserve"> 8/4/93</t>
  </si>
  <si>
    <t xml:space="preserve"> 8/18/93</t>
  </si>
  <si>
    <t>Blank</t>
  </si>
  <si>
    <t>Nahant Wet Deposition Samples  (Deposition Rates  [ng/m2-period])</t>
  </si>
  <si>
    <t>Truro Wet Deposition Samples  (Deposition Rates  [ng/m2-period])</t>
  </si>
  <si>
    <t>Annual</t>
  </si>
  <si>
    <t>Deposition</t>
  </si>
  <si>
    <t>Rates</t>
  </si>
  <si>
    <t>(ug/m2-year)</t>
  </si>
  <si>
    <t>(ng/m2-year)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</si>
</sst>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E+00_)"/>
    <numFmt numFmtId="166" formatCode="0.0_)"/>
    <numFmt numFmtId="167" formatCode="0_)"/>
  </numFmts>
  <fonts count="3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3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2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6" xfId="0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/>
      <protection/>
    </xf>
    <xf numFmtId="164" fontId="2" fillId="0" borderId="3" xfId="0" applyNumberFormat="1" applyFont="1" applyFill="1" applyBorder="1" applyAlignment="1" applyProtection="1">
      <alignment/>
      <protection/>
    </xf>
    <xf numFmtId="164" fontId="2" fillId="0" borderId="2" xfId="0" applyNumberFormat="1" applyFont="1" applyFill="1" applyBorder="1" applyAlignment="1" applyProtection="1">
      <alignment/>
      <protection/>
    </xf>
    <xf numFmtId="165" fontId="2" fillId="0" borderId="2" xfId="0" applyNumberFormat="1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/>
      <protection/>
    </xf>
    <xf numFmtId="164" fontId="2" fillId="0" borderId="2" xfId="0" applyNumberFormat="1" applyFont="1" applyFill="1" applyBorder="1" applyAlignment="1" applyProtection="1">
      <alignment/>
      <protection/>
    </xf>
    <xf numFmtId="164" fontId="2" fillId="0" borderId="8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/>
      <protection/>
    </xf>
    <xf numFmtId="164" fontId="2" fillId="0" borderId="7" xfId="0" applyNumberFormat="1" applyFont="1" applyFill="1" applyBorder="1" applyAlignment="1" applyProtection="1">
      <alignment/>
      <protection/>
    </xf>
    <xf numFmtId="165" fontId="2" fillId="0" borderId="7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/>
      <protection/>
    </xf>
    <xf numFmtId="166" fontId="2" fillId="0" borderId="8" xfId="0" applyNumberFormat="1" applyFont="1" applyFill="1" applyBorder="1" applyAlignment="1" applyProtection="1">
      <alignment/>
      <protection/>
    </xf>
    <xf numFmtId="166" fontId="2" fillId="0" borderId="6" xfId="0" applyNumberFormat="1" applyFont="1" applyFill="1" applyBorder="1" applyAlignment="1" applyProtection="1">
      <alignment/>
      <protection/>
    </xf>
    <xf numFmtId="166" fontId="2" fillId="0" borderId="7" xfId="0" applyNumberFormat="1" applyFont="1" applyFill="1" applyBorder="1" applyAlignment="1" applyProtection="1">
      <alignment/>
      <protection/>
    </xf>
    <xf numFmtId="167" fontId="2" fillId="0" borderId="1" xfId="0" applyNumberFormat="1" applyFont="1" applyFill="1" applyBorder="1" applyAlignment="1" applyProtection="1">
      <alignment/>
      <protection/>
    </xf>
    <xf numFmtId="167" fontId="2" fillId="0" borderId="2" xfId="0" applyNumberFormat="1" applyFont="1" applyFill="1" applyBorder="1" applyAlignment="1" applyProtection="1">
      <alignment/>
      <protection/>
    </xf>
    <xf numFmtId="166" fontId="2" fillId="0" borderId="2" xfId="0" applyNumberFormat="1" applyFont="1" applyFill="1" applyBorder="1" applyAlignment="1" applyProtection="1">
      <alignment/>
      <protection/>
    </xf>
    <xf numFmtId="166" fontId="2" fillId="0" borderId="1" xfId="0" applyNumberFormat="1" applyFont="1" applyFill="1" applyBorder="1" applyAlignment="1" applyProtection="1">
      <alignment/>
      <protection/>
    </xf>
    <xf numFmtId="166" fontId="2" fillId="0" borderId="3" xfId="0" applyNumberFormat="1" applyFont="1" applyFill="1" applyBorder="1" applyAlignment="1" applyProtection="1">
      <alignment/>
      <protection/>
    </xf>
    <xf numFmtId="167" fontId="2" fillId="0" borderId="2" xfId="0" applyNumberFormat="1" applyFont="1" applyFill="1" applyBorder="1" applyAlignment="1" applyProtection="1">
      <alignment/>
      <protection/>
    </xf>
    <xf numFmtId="167" fontId="2" fillId="0" borderId="4" xfId="0" applyNumberFormat="1" applyFont="1" applyFill="1" applyBorder="1" applyAlignment="1" applyProtection="1">
      <alignment/>
      <protection/>
    </xf>
    <xf numFmtId="167" fontId="2" fillId="0" borderId="3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V78"/>
  <sheetViews>
    <sheetView showGridLines="0" tabSelected="1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796875" defaultRowHeight="15"/>
  <cols>
    <col min="1" max="1" width="14.796875" style="0" customWidth="1"/>
    <col min="36" max="36" width="22.796875" style="0" customWidth="1"/>
    <col min="37" max="37" width="7.796875" style="0" customWidth="1"/>
    <col min="64" max="64" width="10.796875" style="0" customWidth="1"/>
    <col min="72" max="72" width="4.796875" style="0" customWidth="1"/>
    <col min="73" max="73" width="15.796875" style="0" customWidth="1"/>
  </cols>
  <sheetData>
    <row r="1" spans="2:38" ht="15.75" thickBot="1">
      <c r="B1" s="1" t="s">
        <v>36</v>
      </c>
      <c r="P1" s="1" t="s">
        <v>64</v>
      </c>
      <c r="Q1" s="2">
        <v>844</v>
      </c>
      <c r="AL1" s="1" t="s">
        <v>97</v>
      </c>
    </row>
    <row r="2" spans="1:74" ht="15.75" thickTop="1">
      <c r="A2" s="4" t="s">
        <v>0</v>
      </c>
      <c r="B2" s="8">
        <v>800</v>
      </c>
      <c r="C2" s="12">
        <v>801</v>
      </c>
      <c r="D2" s="12">
        <v>804</v>
      </c>
      <c r="E2" s="12">
        <v>805</v>
      </c>
      <c r="F2" s="12">
        <v>806</v>
      </c>
      <c r="G2" s="12">
        <v>807</v>
      </c>
      <c r="H2" s="12">
        <v>809</v>
      </c>
      <c r="I2" s="12">
        <v>811</v>
      </c>
      <c r="J2" s="12">
        <v>814</v>
      </c>
      <c r="K2" s="12">
        <v>818</v>
      </c>
      <c r="L2" s="12">
        <v>823</v>
      </c>
      <c r="M2" s="12">
        <v>827</v>
      </c>
      <c r="N2" s="12">
        <v>831</v>
      </c>
      <c r="O2" s="12">
        <v>835</v>
      </c>
      <c r="P2" s="12">
        <v>839</v>
      </c>
      <c r="Q2" s="12">
        <v>843</v>
      </c>
      <c r="R2" s="12">
        <v>847</v>
      </c>
      <c r="S2" s="12">
        <v>851</v>
      </c>
      <c r="T2" s="12">
        <v>855</v>
      </c>
      <c r="U2" s="12">
        <v>859</v>
      </c>
      <c r="V2" s="12">
        <v>863</v>
      </c>
      <c r="W2" s="12">
        <v>867</v>
      </c>
      <c r="X2" s="12">
        <v>871</v>
      </c>
      <c r="Y2" s="12">
        <v>875</v>
      </c>
      <c r="Z2" s="12">
        <v>879</v>
      </c>
      <c r="AA2" s="12">
        <v>883</v>
      </c>
      <c r="AB2" s="12">
        <v>887</v>
      </c>
      <c r="AC2" s="12">
        <v>891</v>
      </c>
      <c r="AD2" s="17" t="s">
        <v>38</v>
      </c>
      <c r="AE2" s="12">
        <v>899</v>
      </c>
      <c r="AF2" s="12">
        <v>901</v>
      </c>
      <c r="AG2" s="12">
        <v>903</v>
      </c>
      <c r="AH2" s="12">
        <v>907</v>
      </c>
      <c r="AI2" s="12">
        <v>911</v>
      </c>
      <c r="AJ2" s="16"/>
      <c r="AK2" s="4" t="s">
        <v>38</v>
      </c>
      <c r="AL2" s="8">
        <f aca="true" t="shared" si="0" ref="AL2:AU5">B2</f>
        <v>800</v>
      </c>
      <c r="AM2" s="12">
        <f t="shared" si="0"/>
        <v>801</v>
      </c>
      <c r="AN2" s="12">
        <f t="shared" si="0"/>
        <v>804</v>
      </c>
      <c r="AO2" s="12">
        <f t="shared" si="0"/>
        <v>805</v>
      </c>
      <c r="AP2" s="12">
        <f t="shared" si="0"/>
        <v>806</v>
      </c>
      <c r="AQ2" s="12">
        <f t="shared" si="0"/>
        <v>807</v>
      </c>
      <c r="AR2" s="12">
        <f t="shared" si="0"/>
        <v>809</v>
      </c>
      <c r="AS2" s="12">
        <f t="shared" si="0"/>
        <v>811</v>
      </c>
      <c r="AT2" s="12">
        <f t="shared" si="0"/>
        <v>814</v>
      </c>
      <c r="AU2" s="12">
        <f t="shared" si="0"/>
        <v>818</v>
      </c>
      <c r="AV2" s="12">
        <f aca="true" t="shared" si="1" ref="AV2:BE5">L2</f>
        <v>823</v>
      </c>
      <c r="AW2" s="12">
        <f t="shared" si="1"/>
        <v>827</v>
      </c>
      <c r="AX2" s="12">
        <f t="shared" si="1"/>
        <v>831</v>
      </c>
      <c r="AY2" s="12">
        <f t="shared" si="1"/>
        <v>835</v>
      </c>
      <c r="AZ2" s="12">
        <f t="shared" si="1"/>
        <v>839</v>
      </c>
      <c r="BA2" s="12">
        <f t="shared" si="1"/>
        <v>843</v>
      </c>
      <c r="BB2" s="12">
        <f t="shared" si="1"/>
        <v>847</v>
      </c>
      <c r="BC2" s="12">
        <f t="shared" si="1"/>
        <v>851</v>
      </c>
      <c r="BD2" s="12">
        <f t="shared" si="1"/>
        <v>855</v>
      </c>
      <c r="BE2" s="12">
        <f t="shared" si="1"/>
        <v>859</v>
      </c>
      <c r="BF2" s="12">
        <f aca="true" t="shared" si="2" ref="BF2:BO5">V2</f>
        <v>863</v>
      </c>
      <c r="BG2" s="12">
        <f t="shared" si="2"/>
        <v>867</v>
      </c>
      <c r="BH2" s="12">
        <f t="shared" si="2"/>
        <v>871</v>
      </c>
      <c r="BI2" s="12">
        <f t="shared" si="2"/>
        <v>875</v>
      </c>
      <c r="BJ2" s="12">
        <f t="shared" si="2"/>
        <v>879</v>
      </c>
      <c r="BK2" s="12">
        <f t="shared" si="2"/>
        <v>883</v>
      </c>
      <c r="BL2" s="12">
        <f t="shared" si="2"/>
        <v>887</v>
      </c>
      <c r="BM2" s="12">
        <f t="shared" si="2"/>
        <v>891</v>
      </c>
      <c r="BN2" s="15"/>
      <c r="BO2" s="12">
        <f aca="true" t="shared" si="3" ref="BO2:BS5">AE2</f>
        <v>899</v>
      </c>
      <c r="BP2" s="12">
        <f t="shared" si="3"/>
        <v>901</v>
      </c>
      <c r="BQ2" s="12">
        <f t="shared" si="3"/>
        <v>903</v>
      </c>
      <c r="BR2" s="12">
        <f t="shared" si="3"/>
        <v>907</v>
      </c>
      <c r="BS2" s="12">
        <f t="shared" si="3"/>
        <v>911</v>
      </c>
      <c r="BT2" s="16"/>
      <c r="BU2" s="32" t="s">
        <v>99</v>
      </c>
      <c r="BV2" s="10"/>
    </row>
    <row r="3" spans="1:74" ht="15">
      <c r="A3" s="5" t="s">
        <v>1</v>
      </c>
      <c r="B3" s="5" t="s">
        <v>37</v>
      </c>
      <c r="C3" s="13" t="s">
        <v>37</v>
      </c>
      <c r="D3" s="13" t="s">
        <v>42</v>
      </c>
      <c r="E3" s="13" t="s">
        <v>42</v>
      </c>
      <c r="F3" s="13" t="s">
        <v>45</v>
      </c>
      <c r="G3" s="13" t="s">
        <v>45</v>
      </c>
      <c r="H3" s="13" t="s">
        <v>48</v>
      </c>
      <c r="I3" s="13" t="s">
        <v>50</v>
      </c>
      <c r="J3" s="13" t="s">
        <v>52</v>
      </c>
      <c r="K3" s="13" t="s">
        <v>54</v>
      </c>
      <c r="L3" s="13" t="s">
        <v>56</v>
      </c>
      <c r="M3" s="13" t="s">
        <v>51</v>
      </c>
      <c r="N3" s="13" t="s">
        <v>53</v>
      </c>
      <c r="O3" s="13" t="s">
        <v>61</v>
      </c>
      <c r="P3" s="13" t="s">
        <v>65</v>
      </c>
      <c r="Q3" s="13" t="s">
        <v>67</v>
      </c>
      <c r="R3" s="13" t="s">
        <v>69</v>
      </c>
      <c r="S3" s="13" t="s">
        <v>71</v>
      </c>
      <c r="T3" s="13" t="s">
        <v>73</v>
      </c>
      <c r="U3" s="13" t="s">
        <v>75</v>
      </c>
      <c r="V3" s="13" t="s">
        <v>77</v>
      </c>
      <c r="W3" s="13" t="s">
        <v>79</v>
      </c>
      <c r="X3" s="13" t="s">
        <v>81</v>
      </c>
      <c r="Y3" s="13" t="s">
        <v>83</v>
      </c>
      <c r="Z3" s="13" t="s">
        <v>85</v>
      </c>
      <c r="AA3" s="13" t="s">
        <v>87</v>
      </c>
      <c r="AB3" s="13" t="s">
        <v>89</v>
      </c>
      <c r="AC3" s="13" t="s">
        <v>80</v>
      </c>
      <c r="AD3" s="13" t="s">
        <v>38</v>
      </c>
      <c r="AE3" s="13" t="s">
        <v>92</v>
      </c>
      <c r="AF3" s="13" t="s">
        <v>93</v>
      </c>
      <c r="AG3" s="13" t="s">
        <v>94</v>
      </c>
      <c r="AH3" s="13" t="s">
        <v>95</v>
      </c>
      <c r="AI3" s="13" t="s">
        <v>91</v>
      </c>
      <c r="AJ3" s="16"/>
      <c r="AK3" s="5" t="s">
        <v>38</v>
      </c>
      <c r="AL3" s="9" t="str">
        <f t="shared" si="0"/>
        <v>7/7/92</v>
      </c>
      <c r="AM3" s="14" t="str">
        <f t="shared" si="0"/>
        <v>7/7/92</v>
      </c>
      <c r="AN3" s="14" t="str">
        <f t="shared" si="0"/>
        <v>7/22/92</v>
      </c>
      <c r="AO3" s="14" t="str">
        <f t="shared" si="0"/>
        <v>7/22/92</v>
      </c>
      <c r="AP3" s="14" t="str">
        <f t="shared" si="0"/>
        <v>8/6/92</v>
      </c>
      <c r="AQ3" s="14" t="str">
        <f t="shared" si="0"/>
        <v>8/6/92</v>
      </c>
      <c r="AR3" s="14" t="str">
        <f t="shared" si="0"/>
        <v> 8/19/92</v>
      </c>
      <c r="AS3" s="14" t="str">
        <f t="shared" si="0"/>
        <v>9/2/92</v>
      </c>
      <c r="AT3" s="14" t="str">
        <f t="shared" si="0"/>
        <v>9/16/92</v>
      </c>
      <c r="AU3" s="14" t="str">
        <f t="shared" si="0"/>
        <v>9/30/92</v>
      </c>
      <c r="AV3" s="14" t="str">
        <f t="shared" si="1"/>
        <v>10/14/92</v>
      </c>
      <c r="AW3" s="14" t="str">
        <f t="shared" si="1"/>
        <v>10/27/92</v>
      </c>
      <c r="AX3" s="14" t="str">
        <f t="shared" si="1"/>
        <v>11/10/92</v>
      </c>
      <c r="AY3" s="14" t="str">
        <f t="shared" si="1"/>
        <v>11/23/92</v>
      </c>
      <c r="AZ3" s="14" t="str">
        <f t="shared" si="1"/>
        <v>12/7/92</v>
      </c>
      <c r="BA3" s="14" t="str">
        <f t="shared" si="1"/>
        <v>12/21/92</v>
      </c>
      <c r="BB3" s="14" t="str">
        <f t="shared" si="1"/>
        <v> 1/6/93</v>
      </c>
      <c r="BC3" s="14" t="str">
        <f t="shared" si="1"/>
        <v> 1/20/93</v>
      </c>
      <c r="BD3" s="14" t="str">
        <f t="shared" si="1"/>
        <v> 2/2/93</v>
      </c>
      <c r="BE3" s="14" t="str">
        <f t="shared" si="1"/>
        <v> 2/15/93</v>
      </c>
      <c r="BF3" s="14" t="str">
        <f t="shared" si="2"/>
        <v> 3/2/93</v>
      </c>
      <c r="BG3" s="14" t="str">
        <f t="shared" si="2"/>
        <v> 3/16/93</v>
      </c>
      <c r="BH3" s="14" t="str">
        <f t="shared" si="2"/>
        <v> 3/30/93</v>
      </c>
      <c r="BI3" s="14" t="str">
        <f t="shared" si="2"/>
        <v> 4/14/93</v>
      </c>
      <c r="BJ3" s="14" t="str">
        <f t="shared" si="2"/>
        <v> 4/27/93</v>
      </c>
      <c r="BK3" s="14" t="str">
        <f t="shared" si="2"/>
        <v> 5/13/93</v>
      </c>
      <c r="BL3" s="14" t="str">
        <f t="shared" si="2"/>
        <v> 5/26/93</v>
      </c>
      <c r="BM3" s="14" t="str">
        <f t="shared" si="2"/>
        <v> 6/9/93</v>
      </c>
      <c r="BN3" s="16"/>
      <c r="BO3" s="14" t="str">
        <f t="shared" si="3"/>
        <v> 7/7/93</v>
      </c>
      <c r="BP3" s="14" t="str">
        <f t="shared" si="3"/>
        <v> 7/22/93</v>
      </c>
      <c r="BQ3" s="14" t="str">
        <f t="shared" si="3"/>
        <v> 8/4/93</v>
      </c>
      <c r="BR3" s="14" t="str">
        <f t="shared" si="3"/>
        <v> 8/18/93</v>
      </c>
      <c r="BS3" s="14" t="str">
        <f t="shared" si="3"/>
        <v> 9/1/93</v>
      </c>
      <c r="BT3" s="16"/>
      <c r="BU3" s="33" t="s">
        <v>100</v>
      </c>
      <c r="BV3" s="10"/>
    </row>
    <row r="4" spans="1:74" ht="15">
      <c r="A4" s="5" t="s">
        <v>2</v>
      </c>
      <c r="B4" s="9">
        <v>360</v>
      </c>
      <c r="C4" s="14">
        <v>360</v>
      </c>
      <c r="D4" s="14">
        <v>360</v>
      </c>
      <c r="E4" s="14">
        <v>360</v>
      </c>
      <c r="F4" s="14">
        <v>311.833</v>
      </c>
      <c r="G4" s="14">
        <v>311.833</v>
      </c>
      <c r="H4" s="14">
        <v>336.42</v>
      </c>
      <c r="I4" s="14">
        <v>335.25</v>
      </c>
      <c r="J4" s="14">
        <v>335.25</v>
      </c>
      <c r="K4" s="14">
        <v>335.5</v>
      </c>
      <c r="L4" s="14">
        <v>311.75</v>
      </c>
      <c r="M4" s="14">
        <v>329.08</v>
      </c>
      <c r="N4" s="14">
        <v>317.42</v>
      </c>
      <c r="O4" s="14">
        <v>334.75</v>
      </c>
      <c r="P4" s="14">
        <v>334.5</v>
      </c>
      <c r="Q4" s="14">
        <v>381.5</v>
      </c>
      <c r="R4" s="14">
        <v>333.58</v>
      </c>
      <c r="S4" s="14">
        <v>311.5</v>
      </c>
      <c r="T4" s="14">
        <v>307.17</v>
      </c>
      <c r="U4" s="14">
        <v>360.58</v>
      </c>
      <c r="V4" s="14">
        <v>336.5</v>
      </c>
      <c r="W4" s="14">
        <v>337</v>
      </c>
      <c r="X4" s="14">
        <v>359.5</v>
      </c>
      <c r="Y4" s="14">
        <v>313.92</v>
      </c>
      <c r="Z4" s="14">
        <v>382.17</v>
      </c>
      <c r="AA4" s="14">
        <v>311.58</v>
      </c>
      <c r="AB4" s="14">
        <v>337.75</v>
      </c>
      <c r="AC4" s="14">
        <v>674.25</v>
      </c>
      <c r="AD4" s="13" t="s">
        <v>38</v>
      </c>
      <c r="AE4" s="14">
        <v>354.08</v>
      </c>
      <c r="AF4" s="14">
        <v>314.75</v>
      </c>
      <c r="AG4" s="14">
        <v>334.33</v>
      </c>
      <c r="AH4" s="14">
        <v>335.58</v>
      </c>
      <c r="AI4" s="14">
        <v>313.17</v>
      </c>
      <c r="AJ4" s="16"/>
      <c r="AK4" s="5" t="s">
        <v>38</v>
      </c>
      <c r="AL4" s="9">
        <f t="shared" si="0"/>
        <v>360</v>
      </c>
      <c r="AM4" s="14">
        <f t="shared" si="0"/>
        <v>360</v>
      </c>
      <c r="AN4" s="14">
        <f t="shared" si="0"/>
        <v>360</v>
      </c>
      <c r="AO4" s="14">
        <f t="shared" si="0"/>
        <v>360</v>
      </c>
      <c r="AP4" s="14">
        <f t="shared" si="0"/>
        <v>311.833</v>
      </c>
      <c r="AQ4" s="14">
        <f t="shared" si="0"/>
        <v>311.833</v>
      </c>
      <c r="AR4" s="14">
        <f t="shared" si="0"/>
        <v>336.42</v>
      </c>
      <c r="AS4" s="14">
        <f t="shared" si="0"/>
        <v>335.25</v>
      </c>
      <c r="AT4" s="14">
        <f t="shared" si="0"/>
        <v>335.25</v>
      </c>
      <c r="AU4" s="14">
        <f t="shared" si="0"/>
        <v>335.5</v>
      </c>
      <c r="AV4" s="14">
        <f t="shared" si="1"/>
        <v>311.75</v>
      </c>
      <c r="AW4" s="14">
        <f t="shared" si="1"/>
        <v>329.08</v>
      </c>
      <c r="AX4" s="14">
        <f t="shared" si="1"/>
        <v>317.42</v>
      </c>
      <c r="AY4" s="14">
        <f t="shared" si="1"/>
        <v>334.75</v>
      </c>
      <c r="AZ4" s="14">
        <f t="shared" si="1"/>
        <v>334.5</v>
      </c>
      <c r="BA4" s="14">
        <f t="shared" si="1"/>
        <v>381.5</v>
      </c>
      <c r="BB4" s="14">
        <f t="shared" si="1"/>
        <v>333.58</v>
      </c>
      <c r="BC4" s="14">
        <f t="shared" si="1"/>
        <v>311.5</v>
      </c>
      <c r="BD4" s="14">
        <f t="shared" si="1"/>
        <v>307.17</v>
      </c>
      <c r="BE4" s="14">
        <f t="shared" si="1"/>
        <v>360.58</v>
      </c>
      <c r="BF4" s="14">
        <f t="shared" si="2"/>
        <v>336.5</v>
      </c>
      <c r="BG4" s="14">
        <f t="shared" si="2"/>
        <v>337</v>
      </c>
      <c r="BH4" s="14">
        <f t="shared" si="2"/>
        <v>359.5</v>
      </c>
      <c r="BI4" s="14">
        <f t="shared" si="2"/>
        <v>313.92</v>
      </c>
      <c r="BJ4" s="14">
        <f t="shared" si="2"/>
        <v>382.17</v>
      </c>
      <c r="BK4" s="14">
        <f t="shared" si="2"/>
        <v>311.58</v>
      </c>
      <c r="BL4" s="14">
        <f t="shared" si="2"/>
        <v>337.75</v>
      </c>
      <c r="BM4" s="14">
        <f t="shared" si="2"/>
        <v>674.25</v>
      </c>
      <c r="BN4" s="16"/>
      <c r="BO4" s="14">
        <f t="shared" si="3"/>
        <v>354.08</v>
      </c>
      <c r="BP4" s="14">
        <f t="shared" si="3"/>
        <v>314.75</v>
      </c>
      <c r="BQ4" s="14">
        <f t="shared" si="3"/>
        <v>334.33</v>
      </c>
      <c r="BR4" s="14">
        <f t="shared" si="3"/>
        <v>335.58</v>
      </c>
      <c r="BS4" s="14">
        <f t="shared" si="3"/>
        <v>313.17</v>
      </c>
      <c r="BT4" s="16"/>
      <c r="BU4" s="33" t="s">
        <v>101</v>
      </c>
      <c r="BV4" s="10"/>
    </row>
    <row r="5" spans="1:74" ht="15">
      <c r="A5" s="5" t="s">
        <v>3</v>
      </c>
      <c r="B5" s="9">
        <v>1.11</v>
      </c>
      <c r="C5" s="14">
        <v>1.11</v>
      </c>
      <c r="D5" s="14">
        <v>0.98</v>
      </c>
      <c r="E5" s="14">
        <v>0.98</v>
      </c>
      <c r="F5" s="14">
        <v>4.41</v>
      </c>
      <c r="G5" s="14">
        <v>4.41</v>
      </c>
      <c r="H5" s="14">
        <v>0.56</v>
      </c>
      <c r="I5" s="14">
        <v>1.37</v>
      </c>
      <c r="J5" s="14">
        <v>1.87</v>
      </c>
      <c r="K5" s="14">
        <v>1.19</v>
      </c>
      <c r="L5" s="14">
        <v>0.54</v>
      </c>
      <c r="M5" s="14">
        <v>1</v>
      </c>
      <c r="N5" s="14">
        <v>2.74</v>
      </c>
      <c r="O5" s="14">
        <v>1.34</v>
      </c>
      <c r="P5" s="14">
        <v>7.99</v>
      </c>
      <c r="Q5" s="14">
        <v>1.53</v>
      </c>
      <c r="R5" s="14">
        <v>0.5</v>
      </c>
      <c r="S5" s="14">
        <v>0.46</v>
      </c>
      <c r="T5" s="14">
        <v>2.39</v>
      </c>
      <c r="U5" s="14">
        <v>1.54</v>
      </c>
      <c r="V5" s="14">
        <v>0.77</v>
      </c>
      <c r="W5" s="14">
        <v>3.39</v>
      </c>
      <c r="X5" s="14">
        <v>1.82</v>
      </c>
      <c r="Y5" s="14">
        <v>2.12</v>
      </c>
      <c r="Z5" s="14">
        <v>0.12</v>
      </c>
      <c r="AA5" s="14">
        <v>0.57</v>
      </c>
      <c r="AB5" s="14">
        <v>1.18</v>
      </c>
      <c r="AC5" s="14">
        <v>0.64</v>
      </c>
      <c r="AD5" s="16"/>
      <c r="AE5" s="14">
        <v>0.33</v>
      </c>
      <c r="AF5" s="14">
        <v>1.03</v>
      </c>
      <c r="AG5" s="14">
        <v>0.58</v>
      </c>
      <c r="AH5" s="14">
        <v>0.34</v>
      </c>
      <c r="AI5" s="14">
        <v>1.55</v>
      </c>
      <c r="AJ5" s="16"/>
      <c r="AK5" s="5" t="s">
        <v>96</v>
      </c>
      <c r="AL5" s="9">
        <f t="shared" si="0"/>
        <v>1.11</v>
      </c>
      <c r="AM5" s="14">
        <f t="shared" si="0"/>
        <v>1.11</v>
      </c>
      <c r="AN5" s="14">
        <f t="shared" si="0"/>
        <v>0.98</v>
      </c>
      <c r="AO5" s="14">
        <f t="shared" si="0"/>
        <v>0.98</v>
      </c>
      <c r="AP5" s="14">
        <f t="shared" si="0"/>
        <v>4.41</v>
      </c>
      <c r="AQ5" s="14">
        <f t="shared" si="0"/>
        <v>4.41</v>
      </c>
      <c r="AR5" s="14">
        <f t="shared" si="0"/>
        <v>0.56</v>
      </c>
      <c r="AS5" s="14">
        <f t="shared" si="0"/>
        <v>1.37</v>
      </c>
      <c r="AT5" s="14">
        <f t="shared" si="0"/>
        <v>1.87</v>
      </c>
      <c r="AU5" s="14">
        <f t="shared" si="0"/>
        <v>1.19</v>
      </c>
      <c r="AV5" s="14">
        <f t="shared" si="1"/>
        <v>0.54</v>
      </c>
      <c r="AW5" s="14">
        <f t="shared" si="1"/>
        <v>1</v>
      </c>
      <c r="AX5" s="14">
        <f t="shared" si="1"/>
        <v>2.74</v>
      </c>
      <c r="AY5" s="14">
        <f t="shared" si="1"/>
        <v>1.34</v>
      </c>
      <c r="AZ5" s="14">
        <f t="shared" si="1"/>
        <v>7.99</v>
      </c>
      <c r="BA5" s="14">
        <f t="shared" si="1"/>
        <v>1.53</v>
      </c>
      <c r="BB5" s="14">
        <f t="shared" si="1"/>
        <v>0.5</v>
      </c>
      <c r="BC5" s="14">
        <f t="shared" si="1"/>
        <v>0.46</v>
      </c>
      <c r="BD5" s="14">
        <f t="shared" si="1"/>
        <v>2.39</v>
      </c>
      <c r="BE5" s="14">
        <f t="shared" si="1"/>
        <v>1.54</v>
      </c>
      <c r="BF5" s="14">
        <f t="shared" si="2"/>
        <v>0.77</v>
      </c>
      <c r="BG5" s="14">
        <f t="shared" si="2"/>
        <v>3.39</v>
      </c>
      <c r="BH5" s="14">
        <f t="shared" si="2"/>
        <v>1.82</v>
      </c>
      <c r="BI5" s="14">
        <f t="shared" si="2"/>
        <v>2.12</v>
      </c>
      <c r="BJ5" s="14">
        <f t="shared" si="2"/>
        <v>0.12</v>
      </c>
      <c r="BK5" s="14">
        <f t="shared" si="2"/>
        <v>0.57</v>
      </c>
      <c r="BL5" s="14">
        <f t="shared" si="2"/>
        <v>1.18</v>
      </c>
      <c r="BM5" s="14">
        <f t="shared" si="2"/>
        <v>0.64</v>
      </c>
      <c r="BN5" s="16"/>
      <c r="BO5" s="14">
        <f t="shared" si="3"/>
        <v>0.33</v>
      </c>
      <c r="BP5" s="14">
        <f t="shared" si="3"/>
        <v>1.03</v>
      </c>
      <c r="BQ5" s="14">
        <f t="shared" si="3"/>
        <v>0.58</v>
      </c>
      <c r="BR5" s="14">
        <f t="shared" si="3"/>
        <v>0.34</v>
      </c>
      <c r="BS5" s="14">
        <f t="shared" si="3"/>
        <v>1.55</v>
      </c>
      <c r="BT5" s="16"/>
      <c r="BU5" s="33" t="s">
        <v>102</v>
      </c>
      <c r="BV5" s="9">
        <f>SUM(AL5:BM5)-AO5-AM5-AQ5</f>
        <v>42.13000000000001</v>
      </c>
    </row>
    <row r="6" spans="1:74" ht="15">
      <c r="A6" s="6"/>
      <c r="B6" s="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6"/>
      <c r="AK6" s="6"/>
      <c r="AL6" s="6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6"/>
      <c r="BU6" s="6"/>
      <c r="BV6" s="10"/>
    </row>
    <row r="7" spans="1:74" ht="15">
      <c r="A7" s="5" t="s">
        <v>4</v>
      </c>
      <c r="B7" s="9">
        <v>66827</v>
      </c>
      <c r="C7" s="14">
        <v>96169</v>
      </c>
      <c r="D7" s="14">
        <v>11501</v>
      </c>
      <c r="E7" s="14">
        <v>52214</v>
      </c>
      <c r="F7" s="14">
        <v>52471</v>
      </c>
      <c r="G7" s="14">
        <f>4106+7330+16467</f>
        <v>27903</v>
      </c>
      <c r="H7" s="14">
        <v>9225</v>
      </c>
      <c r="I7" s="14">
        <v>12822</v>
      </c>
      <c r="J7" s="14">
        <v>13377</v>
      </c>
      <c r="K7" s="14">
        <v>10504</v>
      </c>
      <c r="L7" s="14">
        <v>21484</v>
      </c>
      <c r="M7" s="14">
        <v>18447</v>
      </c>
      <c r="N7" s="14">
        <v>29673</v>
      </c>
      <c r="O7" s="14">
        <v>11675</v>
      </c>
      <c r="P7" s="13" t="s">
        <v>38</v>
      </c>
      <c r="Q7" s="14">
        <v>54807</v>
      </c>
      <c r="R7" s="14">
        <v>15761</v>
      </c>
      <c r="S7" s="14">
        <v>30269</v>
      </c>
      <c r="T7" s="14">
        <f>5727+20300</f>
        <v>26027</v>
      </c>
      <c r="U7" s="14">
        <v>22465</v>
      </c>
      <c r="V7" s="14">
        <v>45857</v>
      </c>
      <c r="W7" s="14">
        <v>29555</v>
      </c>
      <c r="X7" s="14">
        <v>38786</v>
      </c>
      <c r="Y7" s="14">
        <f>15504+17064</f>
        <v>32568</v>
      </c>
      <c r="Z7" s="14">
        <v>84322</v>
      </c>
      <c r="AA7" s="14">
        <v>61025</v>
      </c>
      <c r="AB7" s="14">
        <f>42372+9851</f>
        <v>52223</v>
      </c>
      <c r="AC7" s="14">
        <f>14553+77242</f>
        <v>91795</v>
      </c>
      <c r="AD7" s="16"/>
      <c r="AE7" s="14">
        <v>25757</v>
      </c>
      <c r="AF7" s="14">
        <v>32357</v>
      </c>
      <c r="AG7" s="14">
        <v>53518</v>
      </c>
      <c r="AH7" s="14">
        <v>18280</v>
      </c>
      <c r="AI7" s="14">
        <v>83041</v>
      </c>
      <c r="AJ7" s="16"/>
      <c r="AK7" s="9">
        <v>0</v>
      </c>
      <c r="AL7" s="21">
        <f aca="true" t="shared" si="4" ref="AL7:AL34">IF(B7-$AK7&lt;0.0001,"ND",(B7-$AK7)/0.06413)</f>
        <v>1042055.2003742397</v>
      </c>
      <c r="AM7" s="27">
        <f aca="true" t="shared" si="5" ref="AM7:AM34">IF(C7-$AK7&lt;0.0001,"ND",(C7-$AK7)/0.06413)</f>
        <v>1499594.5735225321</v>
      </c>
      <c r="AN7" s="27">
        <f aca="true" t="shared" si="6" ref="AN7:AN34">IF(D7-$AK7&lt;0.0001,"ND",(D7-$AK7)/0.06413)</f>
        <v>179338.8429752066</v>
      </c>
      <c r="AO7" s="27">
        <f aca="true" t="shared" si="7" ref="AO7:AO34">IF(E7-$AK7&lt;0.0001,"ND",(E7-$AK7)/0.06413)</f>
        <v>814189.9267113674</v>
      </c>
      <c r="AP7" s="27">
        <f aca="true" t="shared" si="8" ref="AP7:AP34">IF(F7-$AK7&lt;0.0001,"ND",(F7-$AK7)/0.06413)</f>
        <v>818197.4115078745</v>
      </c>
      <c r="AQ7" s="27">
        <f aca="true" t="shared" si="9" ref="AQ7:AQ34">IF(G7-$AK7&lt;0.0001,"ND",(G7-$AK7)/0.06413)</f>
        <v>435100.57695306407</v>
      </c>
      <c r="AR7" s="27">
        <f aca="true" t="shared" si="10" ref="AR7:AR34">IF(H7-$AK7&lt;0.0001,"ND",(H7-$AK7)/0.06413)</f>
        <v>143848.4328707313</v>
      </c>
      <c r="AS7" s="27">
        <f aca="true" t="shared" si="11" ref="AS7:AS34">IF(I7-$AK7&lt;0.0001,"ND",(I7-$AK7)/0.06413)</f>
        <v>199937.62669577418</v>
      </c>
      <c r="AT7" s="27">
        <f aca="true" t="shared" si="12" ref="AT7:AT34">IF(J7-$AK7&lt;0.0001,"ND",(J7-$AK7)/0.06413)</f>
        <v>208591.92265710272</v>
      </c>
      <c r="AU7" s="27">
        <f aca="true" t="shared" si="13" ref="AU7:AU34">IF(K7-$AK7&lt;0.0001,"ND",(K7-$AK7)/0.06413)</f>
        <v>163792.2968969281</v>
      </c>
      <c r="AV7" s="27">
        <f aca="true" t="shared" si="14" ref="AV7:AV34">IF(L7-$AK7&lt;0.0001,"ND",(L7-$AK7)/0.06413)</f>
        <v>335007.01699672535</v>
      </c>
      <c r="AW7" s="27">
        <f aca="true" t="shared" si="15" ref="AW7:AW34">IF(M7-$AK7&lt;0.0001,"ND",(M7-$AK7)/0.06413)</f>
        <v>287650.08576329326</v>
      </c>
      <c r="AX7" s="27">
        <f aca="true" t="shared" si="16" ref="AX7:AX34">IF(N7-$AK7&lt;0.0001,"ND",(N7-$AK7)/0.06413)</f>
        <v>462700.7640729767</v>
      </c>
      <c r="AY7" s="27">
        <f aca="true" t="shared" si="17" ref="AY7:AY34">IF(O7-$AK7&lt;0.0001,"ND",(O7-$AK7)/0.06413)</f>
        <v>182052.0817090285</v>
      </c>
      <c r="AZ7" s="27" t="str">
        <f aca="true" t="shared" si="18" ref="AZ7:AZ34">IF(P7-$AK7&lt;0.0001,"ND",(P7-$AK7)/0.06413)</f>
        <v>ND</v>
      </c>
      <c r="BA7" s="27">
        <f aca="true" t="shared" si="19" ref="BA7:BA34">IF(Q7-$AK7&lt;0.0001,"ND",(Q7-$AK7)/0.06413)</f>
        <v>854623.4211757367</v>
      </c>
      <c r="BB7" s="27">
        <f aca="true" t="shared" si="20" ref="BB7:BB34">IF(R7-$AK7&lt;0.0001,"ND",(R7-$AK7)/0.06413)</f>
        <v>245766.4119756744</v>
      </c>
      <c r="BC7" s="27">
        <f aca="true" t="shared" si="21" ref="BC7:BC34">IF(S7-$AK7&lt;0.0001,"ND",(S7-$AK7)/0.06413)</f>
        <v>471994.38640261965</v>
      </c>
      <c r="BD7" s="27">
        <f aca="true" t="shared" si="22" ref="BD7:BD34">IF(T7-$AK7&lt;0.0001,"ND",(T7-$AK7)/0.06413)</f>
        <v>405847.4972711679</v>
      </c>
      <c r="BE7" s="27">
        <f aca="true" t="shared" si="23" ref="BE7:BE34">IF(U7-$AK7&lt;0.0001,"ND",(U7-$AK7)/0.06413)</f>
        <v>350304.0698581007</v>
      </c>
      <c r="BF7" s="27">
        <f aca="true" t="shared" si="24" ref="BF7:BF34">IF(V7-$AK7&lt;0.0001,"ND",(V7-$AK7)/0.06413)</f>
        <v>715063.1529705286</v>
      </c>
      <c r="BG7" s="27">
        <f aca="true" t="shared" si="25" ref="BG7:BG34">IF(W7-$AK7&lt;0.0001,"ND",(W7-$AK7)/0.06413)</f>
        <v>460860.7515983159</v>
      </c>
      <c r="BH7" s="27">
        <f aca="true" t="shared" si="26" ref="BH7:BH34">IF(X7-$AK7&lt;0.0001,"ND",(X7-$AK7)/0.06413)</f>
        <v>604802.7444253858</v>
      </c>
      <c r="BI7" s="27">
        <f aca="true" t="shared" si="27" ref="BI7:BI34">IF(Y7-$AK7&lt;0.0001,"ND",(Y7-$AK7)/0.06413)</f>
        <v>507843.4430063932</v>
      </c>
      <c r="BJ7" s="27">
        <f aca="true" t="shared" si="28" ref="BJ7:BJ34">IF(Z7-$AK7&lt;0.0001,"ND",(Z7-$AK7)/0.06413)</f>
        <v>1314860.4397317946</v>
      </c>
      <c r="BK7" s="27">
        <f aca="true" t="shared" si="29" ref="BK7:BK34">IF(AA7-$AK7&lt;0.0001,"ND",(AA7-$AK7)/0.06413)</f>
        <v>951582.7225947294</v>
      </c>
      <c r="BL7" s="27">
        <f aca="true" t="shared" si="30" ref="BL7:BL34">IF(AB7-$AK7&lt;0.0001,"ND",(AB7-$AK7)/0.06413)</f>
        <v>814330.2666458755</v>
      </c>
      <c r="BM7" s="27">
        <f aca="true" t="shared" si="31" ref="BM7:BM34">IF(AC7-$AK7&lt;0.0001,"ND",(AC7-$AK7)/0.06413)</f>
        <v>1431389.3653516294</v>
      </c>
      <c r="BN7" s="27"/>
      <c r="BO7" s="27">
        <f aca="true" t="shared" si="32" ref="BO7:BO34">IF(AE7-$AK7&lt;0.0001,"ND",(AE7-$AK7)/0.06413)</f>
        <v>401637.299235927</v>
      </c>
      <c r="BP7" s="27">
        <f aca="true" t="shared" si="33" ref="BP7:BP34">IF(AF7-$AK7&lt;0.0001,"ND",(AF7-$AK7)/0.06413)</f>
        <v>504553.2512084827</v>
      </c>
      <c r="BQ7" s="27">
        <f aca="true" t="shared" si="34" ref="BQ7:BQ34">IF(AG7-$AK7&lt;0.0001,"ND",(AG7-$AK7)/0.06413)</f>
        <v>834523.6238889755</v>
      </c>
      <c r="BR7" s="27">
        <f aca="true" t="shared" si="35" ref="BR7:BR34">IF(AH7-$AK7&lt;0.0001,"ND",(AH7-$AK7)/0.06413)</f>
        <v>285046.0003118665</v>
      </c>
      <c r="BS7" s="27">
        <f aca="true" t="shared" si="36" ref="BS7:BS34">IF(AI7-$AK7&lt;0.0001,"ND",(AI7-$AK7)/0.06413)</f>
        <v>1294885.389053485</v>
      </c>
      <c r="BT7" s="16"/>
      <c r="BU7" s="34">
        <f aca="true" t="shared" si="37" ref="BU7:BU37">(SUM(AL7:BS7)-AO7-AM7-AQ7-BJ7)*42.13/(37.85*1000)</f>
        <v>16872.28637915759</v>
      </c>
      <c r="BV7" s="10"/>
    </row>
    <row r="8" spans="1:74" ht="15">
      <c r="A8" s="5" t="s">
        <v>5</v>
      </c>
      <c r="B8" s="10"/>
      <c r="C8" s="14">
        <v>18807</v>
      </c>
      <c r="D8" s="14">
        <v>2535</v>
      </c>
      <c r="E8" s="14">
        <v>12040</v>
      </c>
      <c r="F8" s="14">
        <v>36983</v>
      </c>
      <c r="G8" s="14">
        <f>4162+8250</f>
        <v>12412</v>
      </c>
      <c r="H8" s="14">
        <v>4332</v>
      </c>
      <c r="I8" s="14">
        <v>3971</v>
      </c>
      <c r="J8" s="14">
        <v>5346</v>
      </c>
      <c r="K8" s="14">
        <v>7213</v>
      </c>
      <c r="L8" s="14">
        <v>5685</v>
      </c>
      <c r="M8" s="14">
        <v>6066</v>
      </c>
      <c r="N8" s="14">
        <v>7016</v>
      </c>
      <c r="O8" s="14">
        <v>3925</v>
      </c>
      <c r="P8" s="13" t="s">
        <v>38</v>
      </c>
      <c r="Q8" s="14">
        <v>16449</v>
      </c>
      <c r="R8" s="14">
        <v>8478</v>
      </c>
      <c r="S8" s="14">
        <v>14901</v>
      </c>
      <c r="T8" s="14">
        <f>3406+7302</f>
        <v>10708</v>
      </c>
      <c r="U8" s="14">
        <v>9740</v>
      </c>
      <c r="V8" s="14">
        <v>21805</v>
      </c>
      <c r="W8" s="14">
        <v>9316</v>
      </c>
      <c r="X8" s="14">
        <v>10601</v>
      </c>
      <c r="Y8" s="14">
        <f>7519+6158</f>
        <v>13677</v>
      </c>
      <c r="Z8" s="14">
        <v>32496</v>
      </c>
      <c r="AA8" s="16"/>
      <c r="AB8" s="14">
        <f>14048+4038</f>
        <v>18086</v>
      </c>
      <c r="AC8" s="14">
        <f>3752+25263</f>
        <v>29015</v>
      </c>
      <c r="AD8" s="16"/>
      <c r="AE8" s="14">
        <v>9974</v>
      </c>
      <c r="AF8" s="14">
        <v>8686</v>
      </c>
      <c r="AG8" s="14">
        <v>19567</v>
      </c>
      <c r="AH8" s="14">
        <v>7269</v>
      </c>
      <c r="AI8" s="14">
        <v>26666</v>
      </c>
      <c r="AJ8" s="16"/>
      <c r="AK8" s="9">
        <v>2039</v>
      </c>
      <c r="AL8" s="21" t="str">
        <f t="shared" si="4"/>
        <v>ND</v>
      </c>
      <c r="AM8" s="27">
        <f t="shared" si="5"/>
        <v>261468.89131451736</v>
      </c>
      <c r="AN8" s="27">
        <f t="shared" si="6"/>
        <v>7734.2897239981285</v>
      </c>
      <c r="AO8" s="27">
        <f t="shared" si="7"/>
        <v>155948.85389053484</v>
      </c>
      <c r="AP8" s="27">
        <f t="shared" si="8"/>
        <v>544893.1857165133</v>
      </c>
      <c r="AQ8" s="27">
        <f t="shared" si="9"/>
        <v>161749.57118353344</v>
      </c>
      <c r="AR8" s="27">
        <f t="shared" si="10"/>
        <v>35755.49664743489</v>
      </c>
      <c r="AS8" s="27">
        <f t="shared" si="11"/>
        <v>30126.305941057224</v>
      </c>
      <c r="AT8" s="27">
        <f t="shared" si="12"/>
        <v>51567.129268673</v>
      </c>
      <c r="AU8" s="27">
        <f t="shared" si="13"/>
        <v>80679.86901606111</v>
      </c>
      <c r="AV8" s="27">
        <f t="shared" si="14"/>
        <v>56853.26680180882</v>
      </c>
      <c r="AW8" s="27">
        <f t="shared" si="15"/>
        <v>62794.324029315445</v>
      </c>
      <c r="AX8" s="27">
        <f t="shared" si="16"/>
        <v>77607.9837829409</v>
      </c>
      <c r="AY8" s="27">
        <f t="shared" si="17"/>
        <v>29409.012942460624</v>
      </c>
      <c r="AZ8" s="27" t="str">
        <f t="shared" si="18"/>
        <v>ND</v>
      </c>
      <c r="BA8" s="27">
        <f t="shared" si="19"/>
        <v>224699.82847341336</v>
      </c>
      <c r="BB8" s="27">
        <f t="shared" si="20"/>
        <v>100405.42647746763</v>
      </c>
      <c r="BC8" s="27">
        <f t="shared" si="21"/>
        <v>200561.3597380321</v>
      </c>
      <c r="BD8" s="27">
        <f t="shared" si="22"/>
        <v>135178.54358334633</v>
      </c>
      <c r="BE8" s="27">
        <f t="shared" si="23"/>
        <v>120084.2039607048</v>
      </c>
      <c r="BF8" s="27">
        <f t="shared" si="24"/>
        <v>308217.682831748</v>
      </c>
      <c r="BG8" s="27">
        <f t="shared" si="25"/>
        <v>113472.63371277093</v>
      </c>
      <c r="BH8" s="27">
        <f t="shared" si="26"/>
        <v>133510.0576953064</v>
      </c>
      <c r="BI8" s="27">
        <f t="shared" si="27"/>
        <v>181475.12864493995</v>
      </c>
      <c r="BJ8" s="27">
        <f t="shared" si="28"/>
        <v>474925.9317012318</v>
      </c>
      <c r="BK8" s="27" t="str">
        <f t="shared" si="29"/>
        <v>ND</v>
      </c>
      <c r="BL8" s="27">
        <f t="shared" si="30"/>
        <v>250226.10322781847</v>
      </c>
      <c r="BM8" s="27">
        <f t="shared" si="31"/>
        <v>420645.5636987369</v>
      </c>
      <c r="BN8" s="27"/>
      <c r="BO8" s="27">
        <f t="shared" si="32"/>
        <v>123733.0422579136</v>
      </c>
      <c r="BP8" s="27">
        <f t="shared" si="33"/>
        <v>103648.83829720879</v>
      </c>
      <c r="BQ8" s="27">
        <f t="shared" si="34"/>
        <v>273319.81911741773</v>
      </c>
      <c r="BR8" s="27">
        <f t="shared" si="35"/>
        <v>81553.0952752222</v>
      </c>
      <c r="BS8" s="27">
        <f t="shared" si="36"/>
        <v>384016.8407921409</v>
      </c>
      <c r="BT8" s="16"/>
      <c r="BU8" s="34">
        <f t="shared" si="37"/>
        <v>4599.426190319737</v>
      </c>
      <c r="BV8" s="10"/>
    </row>
    <row r="9" spans="1:74" ht="15">
      <c r="A9" s="5" t="s">
        <v>6</v>
      </c>
      <c r="B9" s="10"/>
      <c r="C9" s="16"/>
      <c r="D9" s="16"/>
      <c r="E9" s="16"/>
      <c r="F9" s="16"/>
      <c r="G9" s="16"/>
      <c r="H9" s="16"/>
      <c r="I9" s="16"/>
      <c r="J9" s="14">
        <v>5654</v>
      </c>
      <c r="K9" s="16"/>
      <c r="L9" s="16"/>
      <c r="M9" s="16"/>
      <c r="N9" s="16"/>
      <c r="O9" s="16"/>
      <c r="P9" s="13" t="s">
        <v>38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9">
        <v>0</v>
      </c>
      <c r="AL9" s="21" t="str">
        <f t="shared" si="4"/>
        <v>ND</v>
      </c>
      <c r="AM9" s="27" t="str">
        <f t="shared" si="5"/>
        <v>ND</v>
      </c>
      <c r="AN9" s="27" t="str">
        <f t="shared" si="6"/>
        <v>ND</v>
      </c>
      <c r="AO9" s="27" t="str">
        <f t="shared" si="7"/>
        <v>ND</v>
      </c>
      <c r="AP9" s="27" t="str">
        <f t="shared" si="8"/>
        <v>ND</v>
      </c>
      <c r="AQ9" s="27" t="str">
        <f t="shared" si="9"/>
        <v>ND</v>
      </c>
      <c r="AR9" s="27" t="str">
        <f t="shared" si="10"/>
        <v>ND</v>
      </c>
      <c r="AS9" s="27" t="str">
        <f t="shared" si="11"/>
        <v>ND</v>
      </c>
      <c r="AT9" s="27">
        <f t="shared" si="12"/>
        <v>88164.66552315609</v>
      </c>
      <c r="AU9" s="27" t="str">
        <f t="shared" si="13"/>
        <v>ND</v>
      </c>
      <c r="AV9" s="27" t="str">
        <f t="shared" si="14"/>
        <v>ND</v>
      </c>
      <c r="AW9" s="27" t="str">
        <f t="shared" si="15"/>
        <v>ND</v>
      </c>
      <c r="AX9" s="27" t="str">
        <f t="shared" si="16"/>
        <v>ND</v>
      </c>
      <c r="AY9" s="27" t="str">
        <f t="shared" si="17"/>
        <v>ND</v>
      </c>
      <c r="AZ9" s="27" t="str">
        <f t="shared" si="18"/>
        <v>ND</v>
      </c>
      <c r="BA9" s="27" t="str">
        <f t="shared" si="19"/>
        <v>ND</v>
      </c>
      <c r="BB9" s="27" t="str">
        <f t="shared" si="20"/>
        <v>ND</v>
      </c>
      <c r="BC9" s="27" t="str">
        <f t="shared" si="21"/>
        <v>ND</v>
      </c>
      <c r="BD9" s="27" t="str">
        <f t="shared" si="22"/>
        <v>ND</v>
      </c>
      <c r="BE9" s="27" t="str">
        <f t="shared" si="23"/>
        <v>ND</v>
      </c>
      <c r="BF9" s="27" t="str">
        <f t="shared" si="24"/>
        <v>ND</v>
      </c>
      <c r="BG9" s="27" t="str">
        <f t="shared" si="25"/>
        <v>ND</v>
      </c>
      <c r="BH9" s="27" t="str">
        <f t="shared" si="26"/>
        <v>ND</v>
      </c>
      <c r="BI9" s="27" t="str">
        <f t="shared" si="27"/>
        <v>ND</v>
      </c>
      <c r="BJ9" s="27" t="str">
        <f t="shared" si="28"/>
        <v>ND</v>
      </c>
      <c r="BK9" s="27" t="str">
        <f t="shared" si="29"/>
        <v>ND</v>
      </c>
      <c r="BL9" s="27" t="str">
        <f t="shared" si="30"/>
        <v>ND</v>
      </c>
      <c r="BM9" s="27" t="str">
        <f t="shared" si="31"/>
        <v>ND</v>
      </c>
      <c r="BN9" s="27"/>
      <c r="BO9" s="27" t="str">
        <f t="shared" si="32"/>
        <v>ND</v>
      </c>
      <c r="BP9" s="27" t="str">
        <f t="shared" si="33"/>
        <v>ND</v>
      </c>
      <c r="BQ9" s="27" t="str">
        <f t="shared" si="34"/>
        <v>ND</v>
      </c>
      <c r="BR9" s="27" t="str">
        <f t="shared" si="35"/>
        <v>ND</v>
      </c>
      <c r="BS9" s="27" t="str">
        <f t="shared" si="36"/>
        <v>ND</v>
      </c>
      <c r="BT9" s="16"/>
      <c r="BU9" s="34">
        <f t="shared" si="37"/>
        <v>98.1341442137534</v>
      </c>
      <c r="BV9" s="10"/>
    </row>
    <row r="10" spans="1:74" ht="15">
      <c r="A10" s="5" t="s">
        <v>7</v>
      </c>
      <c r="B10" s="10"/>
      <c r="C10" s="16"/>
      <c r="D10" s="16"/>
      <c r="E10" s="16"/>
      <c r="F10" s="16"/>
      <c r="G10" s="16"/>
      <c r="H10" s="16"/>
      <c r="I10" s="16"/>
      <c r="J10" s="14">
        <v>7.2</v>
      </c>
      <c r="K10" s="16"/>
      <c r="L10" s="16"/>
      <c r="M10" s="16"/>
      <c r="N10" s="16"/>
      <c r="O10" s="16"/>
      <c r="P10" s="13" t="s">
        <v>38</v>
      </c>
      <c r="Q10" s="16"/>
      <c r="R10" s="16"/>
      <c r="S10" s="16"/>
      <c r="T10" s="16"/>
      <c r="U10" s="16"/>
      <c r="V10" s="16"/>
      <c r="W10" s="16"/>
      <c r="X10" s="14">
        <v>7</v>
      </c>
      <c r="Y10" s="16"/>
      <c r="Z10" s="14">
        <v>17.2</v>
      </c>
      <c r="AA10" s="16"/>
      <c r="AB10" s="16"/>
      <c r="AC10" s="14">
        <v>7.4</v>
      </c>
      <c r="AD10" s="16"/>
      <c r="AE10" s="16"/>
      <c r="AF10" s="16"/>
      <c r="AG10" s="16"/>
      <c r="AH10" s="16"/>
      <c r="AI10" s="14">
        <v>6.3</v>
      </c>
      <c r="AJ10" s="16"/>
      <c r="AK10" s="9">
        <v>0</v>
      </c>
      <c r="AL10" s="21" t="str">
        <f t="shared" si="4"/>
        <v>ND</v>
      </c>
      <c r="AM10" s="27" t="str">
        <f t="shared" si="5"/>
        <v>ND</v>
      </c>
      <c r="AN10" s="27" t="str">
        <f t="shared" si="6"/>
        <v>ND</v>
      </c>
      <c r="AO10" s="27" t="str">
        <f t="shared" si="7"/>
        <v>ND</v>
      </c>
      <c r="AP10" s="27" t="str">
        <f t="shared" si="8"/>
        <v>ND</v>
      </c>
      <c r="AQ10" s="27" t="str">
        <f t="shared" si="9"/>
        <v>ND</v>
      </c>
      <c r="AR10" s="27" t="str">
        <f t="shared" si="10"/>
        <v>ND</v>
      </c>
      <c r="AS10" s="27" t="str">
        <f t="shared" si="11"/>
        <v>ND</v>
      </c>
      <c r="AT10" s="27">
        <f t="shared" si="12"/>
        <v>112.27194760642445</v>
      </c>
      <c r="AU10" s="27" t="str">
        <f t="shared" si="13"/>
        <v>ND</v>
      </c>
      <c r="AV10" s="27" t="str">
        <f t="shared" si="14"/>
        <v>ND</v>
      </c>
      <c r="AW10" s="27" t="str">
        <f t="shared" si="15"/>
        <v>ND</v>
      </c>
      <c r="AX10" s="27" t="str">
        <f t="shared" si="16"/>
        <v>ND</v>
      </c>
      <c r="AY10" s="27" t="str">
        <f t="shared" si="17"/>
        <v>ND</v>
      </c>
      <c r="AZ10" s="27" t="str">
        <f t="shared" si="18"/>
        <v>ND</v>
      </c>
      <c r="BA10" s="27" t="str">
        <f t="shared" si="19"/>
        <v>ND</v>
      </c>
      <c r="BB10" s="27" t="str">
        <f t="shared" si="20"/>
        <v>ND</v>
      </c>
      <c r="BC10" s="27" t="str">
        <f t="shared" si="21"/>
        <v>ND</v>
      </c>
      <c r="BD10" s="27" t="str">
        <f t="shared" si="22"/>
        <v>ND</v>
      </c>
      <c r="BE10" s="27" t="str">
        <f t="shared" si="23"/>
        <v>ND</v>
      </c>
      <c r="BF10" s="27" t="str">
        <f t="shared" si="24"/>
        <v>ND</v>
      </c>
      <c r="BG10" s="27" t="str">
        <f t="shared" si="25"/>
        <v>ND</v>
      </c>
      <c r="BH10" s="27">
        <f t="shared" si="26"/>
        <v>109.15328239513487</v>
      </c>
      <c r="BI10" s="27" t="str">
        <f t="shared" si="27"/>
        <v>ND</v>
      </c>
      <c r="BJ10" s="27">
        <f t="shared" si="28"/>
        <v>268.20520817090284</v>
      </c>
      <c r="BK10" s="27" t="str">
        <f t="shared" si="29"/>
        <v>ND</v>
      </c>
      <c r="BL10" s="27" t="str">
        <f t="shared" si="30"/>
        <v>ND</v>
      </c>
      <c r="BM10" s="27">
        <f t="shared" si="31"/>
        <v>115.39061281771401</v>
      </c>
      <c r="BN10" s="27"/>
      <c r="BO10" s="27" t="str">
        <f t="shared" si="32"/>
        <v>ND</v>
      </c>
      <c r="BP10" s="27" t="str">
        <f t="shared" si="33"/>
        <v>ND</v>
      </c>
      <c r="BQ10" s="27" t="str">
        <f t="shared" si="34"/>
        <v>ND</v>
      </c>
      <c r="BR10" s="27" t="str">
        <f t="shared" si="35"/>
        <v>ND</v>
      </c>
      <c r="BS10" s="27">
        <f t="shared" si="36"/>
        <v>98.23795415562138</v>
      </c>
      <c r="BT10" s="16"/>
      <c r="BU10" s="34">
        <f t="shared" si="37"/>
        <v>0.4842487837926636</v>
      </c>
      <c r="BV10" s="10"/>
    </row>
    <row r="11" spans="1:74" ht="15">
      <c r="A11" s="5" t="s">
        <v>8</v>
      </c>
      <c r="B11" s="9">
        <v>18.4</v>
      </c>
      <c r="C11" s="14">
        <v>26.8</v>
      </c>
      <c r="D11" s="14">
        <v>1.6</v>
      </c>
      <c r="E11" s="14">
        <v>12</v>
      </c>
      <c r="F11" s="14">
        <v>11.5</v>
      </c>
      <c r="G11" s="14">
        <f>1+1.1+4.8</f>
        <v>6.9</v>
      </c>
      <c r="H11" s="14">
        <v>1.6</v>
      </c>
      <c r="I11" s="14">
        <v>2.9</v>
      </c>
      <c r="J11" s="14">
        <v>3</v>
      </c>
      <c r="K11" s="14">
        <v>1.6</v>
      </c>
      <c r="L11" s="14">
        <v>4.6</v>
      </c>
      <c r="M11" s="14">
        <v>4.5</v>
      </c>
      <c r="N11" s="14">
        <v>6.5</v>
      </c>
      <c r="O11" s="14">
        <v>2.2</v>
      </c>
      <c r="P11" s="13" t="s">
        <v>38</v>
      </c>
      <c r="Q11" s="14">
        <v>18</v>
      </c>
      <c r="R11" s="14">
        <v>3.4</v>
      </c>
      <c r="S11" s="14">
        <v>8.5</v>
      </c>
      <c r="T11" s="14">
        <f>0.7+3.2</f>
        <v>3.9000000000000004</v>
      </c>
      <c r="U11" s="14">
        <v>5</v>
      </c>
      <c r="V11" s="14">
        <v>11.8</v>
      </c>
      <c r="W11" s="14">
        <v>6.3</v>
      </c>
      <c r="X11" s="14">
        <v>9.1</v>
      </c>
      <c r="Y11" s="14">
        <f>2.6+4.4</f>
        <v>7</v>
      </c>
      <c r="Z11" s="14">
        <v>22.4</v>
      </c>
      <c r="AA11" s="14">
        <v>16.6</v>
      </c>
      <c r="AB11" s="14">
        <f>11.7+1.9</f>
        <v>13.6</v>
      </c>
      <c r="AC11" s="14">
        <f>2.9+20.5</f>
        <v>23.4</v>
      </c>
      <c r="AD11" s="16"/>
      <c r="AE11" s="14">
        <v>6.7</v>
      </c>
      <c r="AF11" s="14">
        <v>7.7</v>
      </c>
      <c r="AG11" s="14">
        <v>14.3</v>
      </c>
      <c r="AH11" s="14">
        <v>4.4</v>
      </c>
      <c r="AI11" s="14">
        <v>22.3</v>
      </c>
      <c r="AJ11" s="16"/>
      <c r="AK11" s="9">
        <v>0</v>
      </c>
      <c r="AL11" s="21">
        <f t="shared" si="4"/>
        <v>286.91719943864024</v>
      </c>
      <c r="AM11" s="27">
        <f t="shared" si="5"/>
        <v>417.9011383128021</v>
      </c>
      <c r="AN11" s="27">
        <f t="shared" si="6"/>
        <v>24.949321690316545</v>
      </c>
      <c r="AO11" s="27">
        <f t="shared" si="7"/>
        <v>187.11991267737406</v>
      </c>
      <c r="AP11" s="27">
        <f t="shared" si="8"/>
        <v>179.32324964915014</v>
      </c>
      <c r="AQ11" s="27">
        <f t="shared" si="9"/>
        <v>107.5939497894901</v>
      </c>
      <c r="AR11" s="27">
        <f t="shared" si="10"/>
        <v>24.949321690316545</v>
      </c>
      <c r="AS11" s="27">
        <f t="shared" si="11"/>
        <v>45.22064556369873</v>
      </c>
      <c r="AT11" s="27">
        <f t="shared" si="12"/>
        <v>46.779978169343515</v>
      </c>
      <c r="AU11" s="27">
        <f t="shared" si="13"/>
        <v>24.949321690316545</v>
      </c>
      <c r="AV11" s="27">
        <f t="shared" si="14"/>
        <v>71.72929985966006</v>
      </c>
      <c r="AW11" s="27">
        <f t="shared" si="15"/>
        <v>70.16996725401528</v>
      </c>
      <c r="AX11" s="27">
        <f t="shared" si="16"/>
        <v>101.35661936691095</v>
      </c>
      <c r="AY11" s="27">
        <f t="shared" si="17"/>
        <v>34.305317324185246</v>
      </c>
      <c r="AZ11" s="27" t="str">
        <f t="shared" si="18"/>
        <v>ND</v>
      </c>
      <c r="BA11" s="27">
        <f t="shared" si="19"/>
        <v>280.6798690160611</v>
      </c>
      <c r="BB11" s="27">
        <f t="shared" si="20"/>
        <v>53.01730859192265</v>
      </c>
      <c r="BC11" s="27">
        <f t="shared" si="21"/>
        <v>132.54327147980663</v>
      </c>
      <c r="BD11" s="27">
        <f t="shared" si="22"/>
        <v>60.813971620146575</v>
      </c>
      <c r="BE11" s="27">
        <f t="shared" si="23"/>
        <v>77.9666302822392</v>
      </c>
      <c r="BF11" s="27">
        <f t="shared" si="24"/>
        <v>184.00124746608452</v>
      </c>
      <c r="BG11" s="27">
        <f t="shared" si="25"/>
        <v>98.23795415562138</v>
      </c>
      <c r="BH11" s="27">
        <f t="shared" si="26"/>
        <v>141.89926711367534</v>
      </c>
      <c r="BI11" s="27">
        <f t="shared" si="27"/>
        <v>109.15328239513487</v>
      </c>
      <c r="BJ11" s="27">
        <f t="shared" si="28"/>
        <v>349.2905036644316</v>
      </c>
      <c r="BK11" s="27">
        <f t="shared" si="29"/>
        <v>258.84921253703413</v>
      </c>
      <c r="BL11" s="27">
        <f t="shared" si="30"/>
        <v>212.0692343676906</v>
      </c>
      <c r="BM11" s="27">
        <f t="shared" si="31"/>
        <v>364.8838297208794</v>
      </c>
      <c r="BN11" s="27"/>
      <c r="BO11" s="27">
        <f t="shared" si="32"/>
        <v>104.47528457820053</v>
      </c>
      <c r="BP11" s="27">
        <f t="shared" si="33"/>
        <v>120.06861063464837</v>
      </c>
      <c r="BQ11" s="27">
        <f t="shared" si="34"/>
        <v>222.9845626072041</v>
      </c>
      <c r="BR11" s="27">
        <f t="shared" si="35"/>
        <v>68.61063464837049</v>
      </c>
      <c r="BS11" s="27">
        <f t="shared" si="36"/>
        <v>347.7311710587868</v>
      </c>
      <c r="BT11" s="16"/>
      <c r="BU11" s="34">
        <f t="shared" si="37"/>
        <v>4.172523570743953</v>
      </c>
      <c r="BV11" s="10"/>
    </row>
    <row r="12" spans="1:74" ht="15">
      <c r="A12" s="5" t="s">
        <v>9</v>
      </c>
      <c r="B12" s="9">
        <v>706.5</v>
      </c>
      <c r="C12" s="14">
        <v>348.6</v>
      </c>
      <c r="D12" s="14">
        <v>123.8</v>
      </c>
      <c r="E12" s="14">
        <v>414.2</v>
      </c>
      <c r="F12" s="14">
        <v>1278</v>
      </c>
      <c r="G12" s="14">
        <f>114.4+147+297.2</f>
        <v>558.5999999999999</v>
      </c>
      <c r="H12" s="14">
        <v>169.6</v>
      </c>
      <c r="I12" s="14">
        <v>101.5</v>
      </c>
      <c r="J12" s="14">
        <v>505.2</v>
      </c>
      <c r="K12" s="14">
        <v>83.7</v>
      </c>
      <c r="L12" s="14">
        <v>186</v>
      </c>
      <c r="M12" s="14">
        <v>226.7</v>
      </c>
      <c r="N12" s="14">
        <v>226.9</v>
      </c>
      <c r="O12" s="14">
        <v>150.2</v>
      </c>
      <c r="P12" s="13" t="s">
        <v>38</v>
      </c>
      <c r="Q12" s="14">
        <v>1500</v>
      </c>
      <c r="R12" s="14">
        <v>259.8</v>
      </c>
      <c r="S12" s="14">
        <v>298.6</v>
      </c>
      <c r="T12" s="14">
        <f>116+103</f>
        <v>219</v>
      </c>
      <c r="U12" s="14">
        <v>329.3</v>
      </c>
      <c r="V12" s="14">
        <v>224.3</v>
      </c>
      <c r="W12" s="14">
        <v>439.8</v>
      </c>
      <c r="X12" s="14">
        <v>239</v>
      </c>
      <c r="Y12" s="14">
        <f>228.7+323.5</f>
        <v>552.2</v>
      </c>
      <c r="Z12" s="14">
        <v>485.6</v>
      </c>
      <c r="AA12" s="14">
        <v>301.6</v>
      </c>
      <c r="AB12" s="14">
        <f>252.3+240.7</f>
        <v>493</v>
      </c>
      <c r="AC12" s="14">
        <f>251.5+376.5</f>
        <v>628</v>
      </c>
      <c r="AD12" s="16"/>
      <c r="AE12" s="14">
        <v>354</v>
      </c>
      <c r="AF12" s="14">
        <v>728.6</v>
      </c>
      <c r="AG12" s="14">
        <v>244.9</v>
      </c>
      <c r="AH12" s="14">
        <v>203.5</v>
      </c>
      <c r="AI12" s="14">
        <v>457.9</v>
      </c>
      <c r="AJ12" s="16"/>
      <c r="AK12" s="9">
        <v>0</v>
      </c>
      <c r="AL12" s="21">
        <f t="shared" si="4"/>
        <v>11016.684858880399</v>
      </c>
      <c r="AM12" s="27">
        <f t="shared" si="5"/>
        <v>5435.833463277717</v>
      </c>
      <c r="AN12" s="27">
        <f t="shared" si="6"/>
        <v>1930.4537657882424</v>
      </c>
      <c r="AO12" s="27">
        <f t="shared" si="7"/>
        <v>6458.755652580695</v>
      </c>
      <c r="AP12" s="27">
        <f t="shared" si="8"/>
        <v>19928.27070014034</v>
      </c>
      <c r="AQ12" s="27">
        <f t="shared" si="9"/>
        <v>8710.43193513176</v>
      </c>
      <c r="AR12" s="27">
        <f t="shared" si="10"/>
        <v>2644.6280991735534</v>
      </c>
      <c r="AS12" s="27">
        <f t="shared" si="11"/>
        <v>1582.7225947294555</v>
      </c>
      <c r="AT12" s="27">
        <f t="shared" si="12"/>
        <v>7877.748323717448</v>
      </c>
      <c r="AU12" s="27">
        <f t="shared" si="13"/>
        <v>1305.1613909246842</v>
      </c>
      <c r="AV12" s="27">
        <f t="shared" si="14"/>
        <v>2900.358646499298</v>
      </c>
      <c r="AW12" s="27">
        <f t="shared" si="15"/>
        <v>3535.007016996725</v>
      </c>
      <c r="AX12" s="27">
        <f t="shared" si="16"/>
        <v>3538.1256822080145</v>
      </c>
      <c r="AY12" s="27">
        <f t="shared" si="17"/>
        <v>2342.1175736784653</v>
      </c>
      <c r="AZ12" s="27" t="str">
        <f t="shared" si="18"/>
        <v>ND</v>
      </c>
      <c r="BA12" s="27">
        <f t="shared" si="19"/>
        <v>23389.989084671757</v>
      </c>
      <c r="BB12" s="27">
        <f t="shared" si="20"/>
        <v>4051.1461094651486</v>
      </c>
      <c r="BC12" s="27">
        <f t="shared" si="21"/>
        <v>4656.167160455325</v>
      </c>
      <c r="BD12" s="27">
        <f t="shared" si="22"/>
        <v>3414.938406362077</v>
      </c>
      <c r="BE12" s="27">
        <f t="shared" si="23"/>
        <v>5134.882270388273</v>
      </c>
      <c r="BF12" s="27">
        <f t="shared" si="24"/>
        <v>3497.5830344612505</v>
      </c>
      <c r="BG12" s="27">
        <f t="shared" si="25"/>
        <v>6857.9447996257595</v>
      </c>
      <c r="BH12" s="27">
        <f t="shared" si="26"/>
        <v>3726.8049274910336</v>
      </c>
      <c r="BI12" s="27">
        <f t="shared" si="27"/>
        <v>8610.634648370497</v>
      </c>
      <c r="BJ12" s="27">
        <f t="shared" si="28"/>
        <v>7572.1191330110705</v>
      </c>
      <c r="BK12" s="27">
        <f t="shared" si="29"/>
        <v>4702.947138624669</v>
      </c>
      <c r="BL12" s="27">
        <f t="shared" si="30"/>
        <v>7687.509745828785</v>
      </c>
      <c r="BM12" s="27">
        <f t="shared" si="31"/>
        <v>9792.608763449243</v>
      </c>
      <c r="BN12" s="27"/>
      <c r="BO12" s="27">
        <f t="shared" si="32"/>
        <v>5520.037423982535</v>
      </c>
      <c r="BP12" s="27">
        <f t="shared" si="33"/>
        <v>11361.297364727896</v>
      </c>
      <c r="BQ12" s="27">
        <f t="shared" si="34"/>
        <v>3818.8055512240758</v>
      </c>
      <c r="BR12" s="27">
        <f t="shared" si="35"/>
        <v>3173.241852487135</v>
      </c>
      <c r="BS12" s="27">
        <f t="shared" si="36"/>
        <v>7140.184001247465</v>
      </c>
      <c r="BT12" s="16"/>
      <c r="BU12" s="34">
        <f t="shared" si="37"/>
        <v>194.9422451629276</v>
      </c>
      <c r="BV12" s="10"/>
    </row>
    <row r="13" spans="1:74" ht="15">
      <c r="A13" s="5" t="s">
        <v>10</v>
      </c>
      <c r="B13" s="9">
        <v>29.8</v>
      </c>
      <c r="C13" s="14">
        <v>30.3</v>
      </c>
      <c r="D13" s="16"/>
      <c r="E13" s="14">
        <v>24.8</v>
      </c>
      <c r="F13" s="14">
        <v>25.3</v>
      </c>
      <c r="G13" s="14">
        <f>3.1+6.4+13.3</f>
        <v>22.8</v>
      </c>
      <c r="H13" s="14">
        <v>4.2</v>
      </c>
      <c r="I13" s="14">
        <v>12.9</v>
      </c>
      <c r="J13" s="14">
        <v>9.3</v>
      </c>
      <c r="K13" s="14">
        <v>9.8</v>
      </c>
      <c r="L13" s="14">
        <v>12.5</v>
      </c>
      <c r="M13" s="14">
        <v>13</v>
      </c>
      <c r="N13" s="14">
        <v>18.5</v>
      </c>
      <c r="O13" s="16"/>
      <c r="P13" s="13" t="s">
        <v>38</v>
      </c>
      <c r="Q13" s="14">
        <v>36</v>
      </c>
      <c r="R13" s="14">
        <v>12.7</v>
      </c>
      <c r="S13" s="14">
        <v>9.7</v>
      </c>
      <c r="T13" s="14">
        <v>14</v>
      </c>
      <c r="U13" s="14">
        <v>7</v>
      </c>
      <c r="V13" s="14">
        <v>22.8</v>
      </c>
      <c r="W13" s="14">
        <v>15.7</v>
      </c>
      <c r="X13" s="14">
        <v>24</v>
      </c>
      <c r="Y13" s="14">
        <v>9.7</v>
      </c>
      <c r="Z13" s="14">
        <v>28.9</v>
      </c>
      <c r="AA13" s="14">
        <v>32.4</v>
      </c>
      <c r="AB13" s="14">
        <v>16.1</v>
      </c>
      <c r="AC13" s="14">
        <v>29.3</v>
      </c>
      <c r="AD13" s="16"/>
      <c r="AE13" s="16"/>
      <c r="AF13" s="14">
        <v>18.3</v>
      </c>
      <c r="AG13" s="14">
        <v>17.3</v>
      </c>
      <c r="AH13" s="14">
        <v>10.9</v>
      </c>
      <c r="AI13" s="14">
        <v>45.9</v>
      </c>
      <c r="AJ13" s="16"/>
      <c r="AK13" s="9">
        <v>9.4</v>
      </c>
      <c r="AL13" s="21">
        <f t="shared" si="4"/>
        <v>318.1038515515359</v>
      </c>
      <c r="AM13" s="27">
        <f t="shared" si="5"/>
        <v>325.90051457975983</v>
      </c>
      <c r="AN13" s="27" t="str">
        <f t="shared" si="6"/>
        <v>ND</v>
      </c>
      <c r="AO13" s="27">
        <f t="shared" si="7"/>
        <v>240.13722126929673</v>
      </c>
      <c r="AP13" s="27">
        <f t="shared" si="8"/>
        <v>247.93388429752065</v>
      </c>
      <c r="AQ13" s="27">
        <f t="shared" si="9"/>
        <v>208.95056915640106</v>
      </c>
      <c r="AR13" s="27" t="str">
        <f t="shared" si="10"/>
        <v>ND</v>
      </c>
      <c r="AS13" s="27">
        <f t="shared" si="11"/>
        <v>54.57664119756743</v>
      </c>
      <c r="AT13" s="27" t="str">
        <f t="shared" si="12"/>
        <v>ND</v>
      </c>
      <c r="AU13" s="27">
        <f t="shared" si="13"/>
        <v>6.237330422579141</v>
      </c>
      <c r="AV13" s="27">
        <f t="shared" si="14"/>
        <v>48.33931077498829</v>
      </c>
      <c r="AW13" s="27">
        <f t="shared" si="15"/>
        <v>56.13597380321222</v>
      </c>
      <c r="AX13" s="27">
        <f t="shared" si="16"/>
        <v>141.89926711367534</v>
      </c>
      <c r="AY13" s="27" t="str">
        <f t="shared" si="17"/>
        <v>ND</v>
      </c>
      <c r="AZ13" s="27" t="str">
        <f t="shared" si="18"/>
        <v>ND</v>
      </c>
      <c r="BA13" s="27">
        <f t="shared" si="19"/>
        <v>414.78247310151255</v>
      </c>
      <c r="BB13" s="27">
        <f t="shared" si="20"/>
        <v>51.45797598627785</v>
      </c>
      <c r="BC13" s="27">
        <f t="shared" si="21"/>
        <v>4.677997816934335</v>
      </c>
      <c r="BD13" s="27">
        <f t="shared" si="22"/>
        <v>71.72929985966006</v>
      </c>
      <c r="BE13" s="27" t="str">
        <f t="shared" si="23"/>
        <v>ND</v>
      </c>
      <c r="BF13" s="27">
        <f t="shared" si="24"/>
        <v>208.95056915640106</v>
      </c>
      <c r="BG13" s="27">
        <f t="shared" si="25"/>
        <v>98.23795415562137</v>
      </c>
      <c r="BH13" s="27">
        <f t="shared" si="26"/>
        <v>227.66256042413843</v>
      </c>
      <c r="BI13" s="27">
        <f t="shared" si="27"/>
        <v>4.677997816934335</v>
      </c>
      <c r="BJ13" s="27">
        <f t="shared" si="28"/>
        <v>304.06985810073286</v>
      </c>
      <c r="BK13" s="27">
        <f t="shared" si="29"/>
        <v>358.6464992983003</v>
      </c>
      <c r="BL13" s="27">
        <f t="shared" si="30"/>
        <v>104.47528457820053</v>
      </c>
      <c r="BM13" s="27">
        <f t="shared" si="31"/>
        <v>310.307188523312</v>
      </c>
      <c r="BN13" s="27"/>
      <c r="BO13" s="27" t="str">
        <f t="shared" si="32"/>
        <v>ND</v>
      </c>
      <c r="BP13" s="27">
        <f t="shared" si="33"/>
        <v>138.78060190238577</v>
      </c>
      <c r="BQ13" s="27">
        <f t="shared" si="34"/>
        <v>123.18727584593793</v>
      </c>
      <c r="BR13" s="27">
        <f t="shared" si="35"/>
        <v>23.389989084671758</v>
      </c>
      <c r="BS13" s="27">
        <f t="shared" si="36"/>
        <v>569.1564010603461</v>
      </c>
      <c r="BT13" s="16"/>
      <c r="BU13" s="34">
        <f t="shared" si="37"/>
        <v>3.988543746077207</v>
      </c>
      <c r="BV13" s="10"/>
    </row>
    <row r="14" spans="1:74" ht="15">
      <c r="A14" s="5" t="s">
        <v>11</v>
      </c>
      <c r="B14" s="9">
        <v>1191.2</v>
      </c>
      <c r="C14" s="14">
        <v>448.9</v>
      </c>
      <c r="D14" s="14">
        <v>404.3</v>
      </c>
      <c r="E14" s="14">
        <v>575.3</v>
      </c>
      <c r="F14" s="14">
        <v>325.9</v>
      </c>
      <c r="G14" s="14">
        <f>446+370+399</f>
        <v>1215</v>
      </c>
      <c r="H14" s="14">
        <v>453</v>
      </c>
      <c r="I14" s="14">
        <v>469.8</v>
      </c>
      <c r="J14" s="14">
        <v>330</v>
      </c>
      <c r="K14" s="14">
        <v>678</v>
      </c>
      <c r="L14" s="14">
        <v>612</v>
      </c>
      <c r="M14" s="14">
        <v>434</v>
      </c>
      <c r="N14" s="14">
        <v>1356</v>
      </c>
      <c r="O14" s="14">
        <v>996</v>
      </c>
      <c r="P14" s="13" t="s">
        <v>38</v>
      </c>
      <c r="Q14" s="14">
        <v>1415</v>
      </c>
      <c r="R14" s="14">
        <v>379</v>
      </c>
      <c r="S14" s="14">
        <v>377</v>
      </c>
      <c r="T14" s="14">
        <f>625+796</f>
        <v>1421</v>
      </c>
      <c r="U14" s="14">
        <v>468</v>
      </c>
      <c r="V14" s="14">
        <v>955</v>
      </c>
      <c r="W14" s="14">
        <v>640</v>
      </c>
      <c r="X14" s="14">
        <v>979</v>
      </c>
      <c r="Y14" s="14">
        <f>527+416</f>
        <v>943</v>
      </c>
      <c r="Z14" s="14">
        <v>871</v>
      </c>
      <c r="AA14" s="14">
        <v>1223</v>
      </c>
      <c r="AB14" s="14">
        <f>526+483</f>
        <v>1009</v>
      </c>
      <c r="AC14" s="14">
        <v>555</v>
      </c>
      <c r="AD14" s="16"/>
      <c r="AE14" s="14">
        <v>630</v>
      </c>
      <c r="AF14" s="14">
        <v>507</v>
      </c>
      <c r="AG14" s="14">
        <v>366</v>
      </c>
      <c r="AH14" s="14">
        <v>468</v>
      </c>
      <c r="AI14" s="14">
        <v>1049</v>
      </c>
      <c r="AJ14" s="16"/>
      <c r="AK14" s="9">
        <v>445</v>
      </c>
      <c r="AL14" s="21">
        <f t="shared" si="4"/>
        <v>11635.739903321379</v>
      </c>
      <c r="AM14" s="27">
        <f t="shared" si="5"/>
        <v>60.81397162014622</v>
      </c>
      <c r="AN14" s="27" t="str">
        <f t="shared" si="6"/>
        <v>ND</v>
      </c>
      <c r="AO14" s="27">
        <f t="shared" si="7"/>
        <v>2031.8103851551527</v>
      </c>
      <c r="AP14" s="27" t="str">
        <f t="shared" si="8"/>
        <v>ND</v>
      </c>
      <c r="AQ14" s="27">
        <f t="shared" si="9"/>
        <v>12006.861063464836</v>
      </c>
      <c r="AR14" s="27">
        <f t="shared" si="10"/>
        <v>124.74660845158272</v>
      </c>
      <c r="AS14" s="27">
        <f t="shared" si="11"/>
        <v>386.71448619990656</v>
      </c>
      <c r="AT14" s="27" t="str">
        <f t="shared" si="12"/>
        <v>ND</v>
      </c>
      <c r="AU14" s="27">
        <f t="shared" si="13"/>
        <v>3633.2449711523464</v>
      </c>
      <c r="AV14" s="27">
        <f t="shared" si="14"/>
        <v>2604.085451426789</v>
      </c>
      <c r="AW14" s="27" t="str">
        <f t="shared" si="15"/>
        <v>ND</v>
      </c>
      <c r="AX14" s="27">
        <f t="shared" si="16"/>
        <v>14205.520037423981</v>
      </c>
      <c r="AY14" s="27">
        <f t="shared" si="17"/>
        <v>8591.92265710276</v>
      </c>
      <c r="AZ14" s="27" t="str">
        <f t="shared" si="18"/>
        <v>ND</v>
      </c>
      <c r="BA14" s="27">
        <f t="shared" si="19"/>
        <v>15125.526274754404</v>
      </c>
      <c r="BB14" s="27" t="str">
        <f t="shared" si="20"/>
        <v>ND</v>
      </c>
      <c r="BC14" s="27" t="str">
        <f t="shared" si="21"/>
        <v>ND</v>
      </c>
      <c r="BD14" s="27">
        <f t="shared" si="22"/>
        <v>15219.08623109309</v>
      </c>
      <c r="BE14" s="27">
        <f t="shared" si="23"/>
        <v>358.6464992983003</v>
      </c>
      <c r="BF14" s="27">
        <f t="shared" si="24"/>
        <v>7952.596288788398</v>
      </c>
      <c r="BG14" s="27">
        <f t="shared" si="25"/>
        <v>3040.6985810073284</v>
      </c>
      <c r="BH14" s="27">
        <f t="shared" si="26"/>
        <v>8326.836114143145</v>
      </c>
      <c r="BI14" s="27">
        <f t="shared" si="27"/>
        <v>7765.4763761110235</v>
      </c>
      <c r="BJ14" s="27">
        <f t="shared" si="28"/>
        <v>6642.756900046779</v>
      </c>
      <c r="BK14" s="27">
        <f t="shared" si="29"/>
        <v>12131.60767191642</v>
      </c>
      <c r="BL14" s="27">
        <f t="shared" si="30"/>
        <v>8794.635895836582</v>
      </c>
      <c r="BM14" s="27">
        <f t="shared" si="31"/>
        <v>1715.2658662092622</v>
      </c>
      <c r="BN14" s="27"/>
      <c r="BO14" s="27">
        <f t="shared" si="32"/>
        <v>2884.76532044285</v>
      </c>
      <c r="BP14" s="27">
        <f t="shared" si="33"/>
        <v>966.7862154997661</v>
      </c>
      <c r="BQ14" s="27" t="str">
        <f t="shared" si="34"/>
        <v>ND</v>
      </c>
      <c r="BR14" s="27">
        <f t="shared" si="35"/>
        <v>358.6464992983003</v>
      </c>
      <c r="BS14" s="27">
        <f t="shared" si="36"/>
        <v>9418.368938094494</v>
      </c>
      <c r="BT14" s="16"/>
      <c r="BU14" s="34">
        <f t="shared" si="37"/>
        <v>150.5336810693108</v>
      </c>
      <c r="BV14" s="10"/>
    </row>
    <row r="15" spans="1:74" ht="15">
      <c r="A15" s="5" t="s">
        <v>12</v>
      </c>
      <c r="B15" s="9">
        <v>33.2</v>
      </c>
      <c r="C15" s="14">
        <v>64.4</v>
      </c>
      <c r="D15" s="16"/>
      <c r="E15" s="16"/>
      <c r="F15" s="14">
        <v>53.1</v>
      </c>
      <c r="G15" s="14">
        <f>5.4+36.6</f>
        <v>42</v>
      </c>
      <c r="H15" s="16"/>
      <c r="I15" s="16"/>
      <c r="J15" s="16"/>
      <c r="K15" s="14">
        <v>21.3</v>
      </c>
      <c r="L15" s="16"/>
      <c r="M15" s="16"/>
      <c r="N15" s="16"/>
      <c r="O15" s="16"/>
      <c r="P15" s="13" t="s">
        <v>38</v>
      </c>
      <c r="Q15" s="14">
        <v>49</v>
      </c>
      <c r="R15" s="14">
        <v>28.8</v>
      </c>
      <c r="S15" s="16"/>
      <c r="T15" s="16"/>
      <c r="U15" s="16"/>
      <c r="V15" s="14">
        <v>29</v>
      </c>
      <c r="W15" s="14">
        <v>54</v>
      </c>
      <c r="X15" s="16"/>
      <c r="Y15" s="16"/>
      <c r="Z15" s="14">
        <v>20</v>
      </c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9">
        <v>0</v>
      </c>
      <c r="AL15" s="21">
        <f t="shared" si="4"/>
        <v>517.6984250740683</v>
      </c>
      <c r="AM15" s="27">
        <f t="shared" si="5"/>
        <v>1004.2101980352409</v>
      </c>
      <c r="AN15" s="27" t="str">
        <f t="shared" si="6"/>
        <v>ND</v>
      </c>
      <c r="AO15" s="27" t="str">
        <f t="shared" si="7"/>
        <v>ND</v>
      </c>
      <c r="AP15" s="27">
        <f t="shared" si="8"/>
        <v>828.0056135973803</v>
      </c>
      <c r="AQ15" s="27">
        <f t="shared" si="9"/>
        <v>654.9196943708092</v>
      </c>
      <c r="AR15" s="27" t="str">
        <f t="shared" si="10"/>
        <v>ND</v>
      </c>
      <c r="AS15" s="27" t="str">
        <f t="shared" si="11"/>
        <v>ND</v>
      </c>
      <c r="AT15" s="27" t="str">
        <f t="shared" si="12"/>
        <v>ND</v>
      </c>
      <c r="AU15" s="27">
        <f t="shared" si="13"/>
        <v>332.13784500233896</v>
      </c>
      <c r="AV15" s="27" t="str">
        <f t="shared" si="14"/>
        <v>ND</v>
      </c>
      <c r="AW15" s="27" t="str">
        <f t="shared" si="15"/>
        <v>ND</v>
      </c>
      <c r="AX15" s="27" t="str">
        <f t="shared" si="16"/>
        <v>ND</v>
      </c>
      <c r="AY15" s="27" t="str">
        <f t="shared" si="17"/>
        <v>ND</v>
      </c>
      <c r="AZ15" s="27" t="str">
        <f t="shared" si="18"/>
        <v>ND</v>
      </c>
      <c r="BA15" s="27">
        <f t="shared" si="19"/>
        <v>764.0729767659441</v>
      </c>
      <c r="BB15" s="27">
        <f t="shared" si="20"/>
        <v>449.0877904256978</v>
      </c>
      <c r="BC15" s="27" t="str">
        <f t="shared" si="21"/>
        <v>ND</v>
      </c>
      <c r="BD15" s="27" t="str">
        <f t="shared" si="22"/>
        <v>ND</v>
      </c>
      <c r="BE15" s="27" t="str">
        <f t="shared" si="23"/>
        <v>ND</v>
      </c>
      <c r="BF15" s="27">
        <f t="shared" si="24"/>
        <v>452.2064556369873</v>
      </c>
      <c r="BG15" s="27">
        <f t="shared" si="25"/>
        <v>842.0396070481833</v>
      </c>
      <c r="BH15" s="27" t="str">
        <f t="shared" si="26"/>
        <v>ND</v>
      </c>
      <c r="BI15" s="27" t="str">
        <f t="shared" si="27"/>
        <v>ND</v>
      </c>
      <c r="BJ15" s="27">
        <f t="shared" si="28"/>
        <v>311.8665211289568</v>
      </c>
      <c r="BK15" s="27" t="str">
        <f t="shared" si="29"/>
        <v>ND</v>
      </c>
      <c r="BL15" s="27" t="str">
        <f t="shared" si="30"/>
        <v>ND</v>
      </c>
      <c r="BM15" s="27" t="str">
        <f t="shared" si="31"/>
        <v>ND</v>
      </c>
      <c r="BN15" s="27"/>
      <c r="BO15" s="27" t="str">
        <f t="shared" si="32"/>
        <v>ND</v>
      </c>
      <c r="BP15" s="27" t="str">
        <f t="shared" si="33"/>
        <v>ND</v>
      </c>
      <c r="BQ15" s="27" t="str">
        <f t="shared" si="34"/>
        <v>ND</v>
      </c>
      <c r="BR15" s="27" t="str">
        <f t="shared" si="35"/>
        <v>ND</v>
      </c>
      <c r="BS15" s="27" t="str">
        <f t="shared" si="36"/>
        <v>ND</v>
      </c>
      <c r="BT15" s="16"/>
      <c r="BU15" s="34">
        <f t="shared" si="37"/>
        <v>4.658508013259889</v>
      </c>
      <c r="BV15" s="10"/>
    </row>
    <row r="16" spans="1:74" ht="15">
      <c r="A16" s="5" t="s">
        <v>13</v>
      </c>
      <c r="B16" s="10"/>
      <c r="C16" s="16"/>
      <c r="D16" s="16"/>
      <c r="E16" s="16"/>
      <c r="F16" s="16"/>
      <c r="G16" s="16"/>
      <c r="H16" s="16"/>
      <c r="I16" s="16"/>
      <c r="J16" s="16"/>
      <c r="K16" s="14">
        <v>840.4</v>
      </c>
      <c r="L16" s="16"/>
      <c r="M16" s="16"/>
      <c r="N16" s="16"/>
      <c r="O16" s="16"/>
      <c r="P16" s="13" t="s">
        <v>38</v>
      </c>
      <c r="Q16" s="16"/>
      <c r="R16" s="16"/>
      <c r="S16" s="16"/>
      <c r="T16" s="16"/>
      <c r="U16" s="16"/>
      <c r="V16" s="14">
        <v>593.7</v>
      </c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9">
        <v>0</v>
      </c>
      <c r="AL16" s="21" t="str">
        <f t="shared" si="4"/>
        <v>ND</v>
      </c>
      <c r="AM16" s="27" t="str">
        <f t="shared" si="5"/>
        <v>ND</v>
      </c>
      <c r="AN16" s="27" t="str">
        <f t="shared" si="6"/>
        <v>ND</v>
      </c>
      <c r="AO16" s="27" t="str">
        <f t="shared" si="7"/>
        <v>ND</v>
      </c>
      <c r="AP16" s="27" t="str">
        <f t="shared" si="8"/>
        <v>ND</v>
      </c>
      <c r="AQ16" s="27" t="str">
        <f t="shared" si="9"/>
        <v>ND</v>
      </c>
      <c r="AR16" s="27" t="str">
        <f t="shared" si="10"/>
        <v>ND</v>
      </c>
      <c r="AS16" s="27" t="str">
        <f t="shared" si="11"/>
        <v>ND</v>
      </c>
      <c r="AT16" s="27" t="str">
        <f t="shared" si="12"/>
        <v>ND</v>
      </c>
      <c r="AU16" s="27">
        <f t="shared" si="13"/>
        <v>13104.631217838763</v>
      </c>
      <c r="AV16" s="27" t="str">
        <f t="shared" si="14"/>
        <v>ND</v>
      </c>
      <c r="AW16" s="27" t="str">
        <f t="shared" si="15"/>
        <v>ND</v>
      </c>
      <c r="AX16" s="27" t="str">
        <f t="shared" si="16"/>
        <v>ND</v>
      </c>
      <c r="AY16" s="27" t="str">
        <f t="shared" si="17"/>
        <v>ND</v>
      </c>
      <c r="AZ16" s="27" t="str">
        <f t="shared" si="18"/>
        <v>ND</v>
      </c>
      <c r="BA16" s="27" t="str">
        <f t="shared" si="19"/>
        <v>ND</v>
      </c>
      <c r="BB16" s="27" t="str">
        <f t="shared" si="20"/>
        <v>ND</v>
      </c>
      <c r="BC16" s="27" t="str">
        <f t="shared" si="21"/>
        <v>ND</v>
      </c>
      <c r="BD16" s="27" t="str">
        <f t="shared" si="22"/>
        <v>ND</v>
      </c>
      <c r="BE16" s="27" t="str">
        <f t="shared" si="23"/>
        <v>ND</v>
      </c>
      <c r="BF16" s="27">
        <f t="shared" si="24"/>
        <v>9257.757679713082</v>
      </c>
      <c r="BG16" s="27" t="str">
        <f t="shared" si="25"/>
        <v>ND</v>
      </c>
      <c r="BH16" s="27" t="str">
        <f t="shared" si="26"/>
        <v>ND</v>
      </c>
      <c r="BI16" s="27" t="str">
        <f t="shared" si="27"/>
        <v>ND</v>
      </c>
      <c r="BJ16" s="27" t="str">
        <f t="shared" si="28"/>
        <v>ND</v>
      </c>
      <c r="BK16" s="27" t="str">
        <f t="shared" si="29"/>
        <v>ND</v>
      </c>
      <c r="BL16" s="27" t="str">
        <f t="shared" si="30"/>
        <v>ND</v>
      </c>
      <c r="BM16" s="27" t="str">
        <f t="shared" si="31"/>
        <v>ND</v>
      </c>
      <c r="BN16" s="27"/>
      <c r="BO16" s="27" t="str">
        <f t="shared" si="32"/>
        <v>ND</v>
      </c>
      <c r="BP16" s="27" t="str">
        <f t="shared" si="33"/>
        <v>ND</v>
      </c>
      <c r="BQ16" s="27" t="str">
        <f t="shared" si="34"/>
        <v>ND</v>
      </c>
      <c r="BR16" s="27" t="str">
        <f t="shared" si="35"/>
        <v>ND</v>
      </c>
      <c r="BS16" s="27" t="str">
        <f t="shared" si="36"/>
        <v>ND</v>
      </c>
      <c r="BT16" s="16"/>
      <c r="BU16" s="34">
        <f t="shared" si="37"/>
        <v>24.891081750432214</v>
      </c>
      <c r="BV16" s="10"/>
    </row>
    <row r="17" spans="1:74" ht="15">
      <c r="A17" s="5" t="s">
        <v>14</v>
      </c>
      <c r="B17" s="1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3" t="s">
        <v>38</v>
      </c>
      <c r="Q17" s="16"/>
      <c r="R17" s="16"/>
      <c r="S17" s="16"/>
      <c r="T17" s="16"/>
      <c r="U17" s="16"/>
      <c r="V17" s="16"/>
      <c r="W17" s="16"/>
      <c r="X17" s="16"/>
      <c r="Y17" s="16"/>
      <c r="Z17" s="14">
        <v>70.8</v>
      </c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9">
        <v>0</v>
      </c>
      <c r="AL17" s="21" t="str">
        <f t="shared" si="4"/>
        <v>ND</v>
      </c>
      <c r="AM17" s="27" t="str">
        <f t="shared" si="5"/>
        <v>ND</v>
      </c>
      <c r="AN17" s="27" t="str">
        <f t="shared" si="6"/>
        <v>ND</v>
      </c>
      <c r="AO17" s="27" t="str">
        <f t="shared" si="7"/>
        <v>ND</v>
      </c>
      <c r="AP17" s="27" t="str">
        <f t="shared" si="8"/>
        <v>ND</v>
      </c>
      <c r="AQ17" s="27" t="str">
        <f t="shared" si="9"/>
        <v>ND</v>
      </c>
      <c r="AR17" s="27" t="str">
        <f t="shared" si="10"/>
        <v>ND</v>
      </c>
      <c r="AS17" s="27" t="str">
        <f t="shared" si="11"/>
        <v>ND</v>
      </c>
      <c r="AT17" s="27" t="str">
        <f t="shared" si="12"/>
        <v>ND</v>
      </c>
      <c r="AU17" s="27" t="str">
        <f t="shared" si="13"/>
        <v>ND</v>
      </c>
      <c r="AV17" s="27" t="str">
        <f t="shared" si="14"/>
        <v>ND</v>
      </c>
      <c r="AW17" s="27" t="str">
        <f t="shared" si="15"/>
        <v>ND</v>
      </c>
      <c r="AX17" s="27" t="str">
        <f t="shared" si="16"/>
        <v>ND</v>
      </c>
      <c r="AY17" s="27" t="str">
        <f t="shared" si="17"/>
        <v>ND</v>
      </c>
      <c r="AZ17" s="27" t="str">
        <f t="shared" si="18"/>
        <v>ND</v>
      </c>
      <c r="BA17" s="27" t="str">
        <f t="shared" si="19"/>
        <v>ND</v>
      </c>
      <c r="BB17" s="27" t="str">
        <f t="shared" si="20"/>
        <v>ND</v>
      </c>
      <c r="BC17" s="27" t="str">
        <f t="shared" si="21"/>
        <v>ND</v>
      </c>
      <c r="BD17" s="27" t="str">
        <f t="shared" si="22"/>
        <v>ND</v>
      </c>
      <c r="BE17" s="27" t="str">
        <f t="shared" si="23"/>
        <v>ND</v>
      </c>
      <c r="BF17" s="27" t="str">
        <f t="shared" si="24"/>
        <v>ND</v>
      </c>
      <c r="BG17" s="27" t="str">
        <f t="shared" si="25"/>
        <v>ND</v>
      </c>
      <c r="BH17" s="27" t="str">
        <f t="shared" si="26"/>
        <v>ND</v>
      </c>
      <c r="BI17" s="27" t="str">
        <f t="shared" si="27"/>
        <v>ND</v>
      </c>
      <c r="BJ17" s="27">
        <f t="shared" si="28"/>
        <v>1104.007484796507</v>
      </c>
      <c r="BK17" s="27" t="str">
        <f t="shared" si="29"/>
        <v>ND</v>
      </c>
      <c r="BL17" s="27" t="str">
        <f t="shared" si="30"/>
        <v>ND</v>
      </c>
      <c r="BM17" s="27" t="str">
        <f t="shared" si="31"/>
        <v>ND</v>
      </c>
      <c r="BN17" s="27"/>
      <c r="BO17" s="27" t="str">
        <f t="shared" si="32"/>
        <v>ND</v>
      </c>
      <c r="BP17" s="27" t="str">
        <f t="shared" si="33"/>
        <v>ND</v>
      </c>
      <c r="BQ17" s="27" t="str">
        <f t="shared" si="34"/>
        <v>ND</v>
      </c>
      <c r="BR17" s="27" t="str">
        <f t="shared" si="35"/>
        <v>ND</v>
      </c>
      <c r="BS17" s="27" t="str">
        <f t="shared" si="36"/>
        <v>ND</v>
      </c>
      <c r="BT17" s="16"/>
      <c r="BU17" s="34">
        <f t="shared" si="37"/>
        <v>0</v>
      </c>
      <c r="BV17" s="10"/>
    </row>
    <row r="18" spans="1:74" ht="15">
      <c r="A18" s="5" t="s">
        <v>15</v>
      </c>
      <c r="B18" s="9">
        <v>12.5</v>
      </c>
      <c r="C18" s="14">
        <v>22.3</v>
      </c>
      <c r="D18" s="14">
        <v>1.5</v>
      </c>
      <c r="E18" s="14">
        <v>5.7</v>
      </c>
      <c r="F18" s="14">
        <v>21.8</v>
      </c>
      <c r="G18" s="14">
        <f>34+38.7</f>
        <v>72.7</v>
      </c>
      <c r="H18" s="16"/>
      <c r="I18" s="16"/>
      <c r="J18" s="16"/>
      <c r="K18" s="16"/>
      <c r="L18" s="14">
        <v>7.4</v>
      </c>
      <c r="M18" s="14">
        <v>5.7</v>
      </c>
      <c r="N18" s="14">
        <v>18.2</v>
      </c>
      <c r="O18" s="14">
        <v>6.8</v>
      </c>
      <c r="P18" s="13" t="s">
        <v>38</v>
      </c>
      <c r="Q18" s="14">
        <v>78</v>
      </c>
      <c r="R18" s="14">
        <v>53.6</v>
      </c>
      <c r="S18" s="16"/>
      <c r="T18" s="14">
        <v>31</v>
      </c>
      <c r="U18" s="14">
        <v>65.8</v>
      </c>
      <c r="V18" s="14">
        <v>8</v>
      </c>
      <c r="W18" s="14">
        <v>65.1</v>
      </c>
      <c r="X18" s="14">
        <v>89</v>
      </c>
      <c r="Y18" s="14">
        <v>8.8</v>
      </c>
      <c r="Z18" s="14">
        <v>22.6</v>
      </c>
      <c r="AA18" s="14">
        <v>60.4</v>
      </c>
      <c r="AB18" s="14">
        <v>14.1</v>
      </c>
      <c r="AC18" s="14">
        <v>8.8</v>
      </c>
      <c r="AD18" s="16"/>
      <c r="AE18" s="16"/>
      <c r="AF18" s="14">
        <v>13.4</v>
      </c>
      <c r="AG18" s="14">
        <v>12.9</v>
      </c>
      <c r="AH18" s="14">
        <v>8.5</v>
      </c>
      <c r="AI18" s="14">
        <v>31.9</v>
      </c>
      <c r="AJ18" s="16"/>
      <c r="AK18" s="9">
        <v>0</v>
      </c>
      <c r="AL18" s="21">
        <f t="shared" si="4"/>
        <v>194.91657570559798</v>
      </c>
      <c r="AM18" s="27">
        <f t="shared" si="5"/>
        <v>347.7311710587868</v>
      </c>
      <c r="AN18" s="27">
        <f t="shared" si="6"/>
        <v>23.389989084671758</v>
      </c>
      <c r="AO18" s="27">
        <f t="shared" si="7"/>
        <v>88.88195852175268</v>
      </c>
      <c r="AP18" s="27">
        <f t="shared" si="8"/>
        <v>339.9345080305629</v>
      </c>
      <c r="AQ18" s="27">
        <f t="shared" si="9"/>
        <v>1133.6348043037578</v>
      </c>
      <c r="AR18" s="27" t="str">
        <f t="shared" si="10"/>
        <v>ND</v>
      </c>
      <c r="AS18" s="27" t="str">
        <f t="shared" si="11"/>
        <v>ND</v>
      </c>
      <c r="AT18" s="27" t="str">
        <f t="shared" si="12"/>
        <v>ND</v>
      </c>
      <c r="AU18" s="27" t="str">
        <f t="shared" si="13"/>
        <v>ND</v>
      </c>
      <c r="AV18" s="27">
        <f t="shared" si="14"/>
        <v>115.39061281771401</v>
      </c>
      <c r="AW18" s="27">
        <f t="shared" si="15"/>
        <v>88.88195852175268</v>
      </c>
      <c r="AX18" s="27">
        <f t="shared" si="16"/>
        <v>283.7985342273507</v>
      </c>
      <c r="AY18" s="27">
        <f t="shared" si="17"/>
        <v>106.0346171838453</v>
      </c>
      <c r="AZ18" s="27" t="str">
        <f t="shared" si="18"/>
        <v>ND</v>
      </c>
      <c r="BA18" s="27">
        <f t="shared" si="19"/>
        <v>1216.2794324029314</v>
      </c>
      <c r="BB18" s="27">
        <f t="shared" si="20"/>
        <v>835.8022766256042</v>
      </c>
      <c r="BC18" s="27" t="str">
        <f t="shared" si="21"/>
        <v>ND</v>
      </c>
      <c r="BD18" s="27">
        <f t="shared" si="22"/>
        <v>483.39310774988303</v>
      </c>
      <c r="BE18" s="27">
        <f t="shared" si="23"/>
        <v>1026.0408545142677</v>
      </c>
      <c r="BF18" s="27">
        <f t="shared" si="24"/>
        <v>124.74660845158272</v>
      </c>
      <c r="BG18" s="27">
        <f t="shared" si="25"/>
        <v>1015.1255262747542</v>
      </c>
      <c r="BH18" s="27">
        <f t="shared" si="26"/>
        <v>1387.8060190238577</v>
      </c>
      <c r="BI18" s="27">
        <f t="shared" si="27"/>
        <v>137.22126929674099</v>
      </c>
      <c r="BJ18" s="27">
        <f t="shared" si="28"/>
        <v>352.40916887572115</v>
      </c>
      <c r="BK18" s="27">
        <f t="shared" si="29"/>
        <v>941.8368938094494</v>
      </c>
      <c r="BL18" s="27">
        <f t="shared" si="30"/>
        <v>219.86589739591452</v>
      </c>
      <c r="BM18" s="27">
        <f t="shared" si="31"/>
        <v>137.22126929674099</v>
      </c>
      <c r="BN18" s="27"/>
      <c r="BO18" s="27" t="str">
        <f t="shared" si="32"/>
        <v>ND</v>
      </c>
      <c r="BP18" s="27">
        <f t="shared" si="33"/>
        <v>208.95056915640106</v>
      </c>
      <c r="BQ18" s="27">
        <f t="shared" si="34"/>
        <v>201.1539061281771</v>
      </c>
      <c r="BR18" s="27">
        <f t="shared" si="35"/>
        <v>132.54327147980663</v>
      </c>
      <c r="BS18" s="27">
        <f t="shared" si="36"/>
        <v>497.427101200686</v>
      </c>
      <c r="BT18" s="16"/>
      <c r="BU18" s="34">
        <f t="shared" si="37"/>
        <v>10.816625163426087</v>
      </c>
      <c r="BV18" s="10"/>
    </row>
    <row r="19" spans="1:74" ht="15">
      <c r="A19" s="5" t="s">
        <v>16</v>
      </c>
      <c r="B19" s="9">
        <v>16.7</v>
      </c>
      <c r="C19" s="14">
        <v>22.3</v>
      </c>
      <c r="D19" s="16"/>
      <c r="E19" s="14">
        <v>39.5</v>
      </c>
      <c r="F19" s="14">
        <v>45.5</v>
      </c>
      <c r="G19" s="14">
        <v>23.1</v>
      </c>
      <c r="H19" s="16"/>
      <c r="I19" s="16"/>
      <c r="J19" s="14">
        <v>33.2</v>
      </c>
      <c r="K19" s="14">
        <v>11.8</v>
      </c>
      <c r="L19" s="14">
        <v>17.2</v>
      </c>
      <c r="M19" s="14">
        <v>18.7</v>
      </c>
      <c r="N19" s="14">
        <v>32</v>
      </c>
      <c r="O19" s="14">
        <v>32.1</v>
      </c>
      <c r="P19" s="13" t="s">
        <v>38</v>
      </c>
      <c r="Q19" s="14">
        <v>55</v>
      </c>
      <c r="R19" s="14">
        <v>57.7</v>
      </c>
      <c r="S19" s="16"/>
      <c r="T19" s="16"/>
      <c r="U19" s="14">
        <v>31.1</v>
      </c>
      <c r="V19" s="16"/>
      <c r="W19" s="14">
        <v>23.3</v>
      </c>
      <c r="X19" s="14">
        <v>22</v>
      </c>
      <c r="Y19" s="16"/>
      <c r="Z19" s="16"/>
      <c r="AA19" s="16"/>
      <c r="AB19" s="14">
        <v>44.7</v>
      </c>
      <c r="AC19" s="14">
        <v>41</v>
      </c>
      <c r="AD19" s="16"/>
      <c r="AE19" s="16"/>
      <c r="AF19" s="14">
        <v>1.6</v>
      </c>
      <c r="AG19" s="16"/>
      <c r="AH19" s="14">
        <v>14.3</v>
      </c>
      <c r="AI19" s="14">
        <v>75.5</v>
      </c>
      <c r="AJ19" s="16"/>
      <c r="AK19" s="9">
        <v>0</v>
      </c>
      <c r="AL19" s="21">
        <f t="shared" si="4"/>
        <v>260.4085451426789</v>
      </c>
      <c r="AM19" s="27">
        <f t="shared" si="5"/>
        <v>347.7311710587868</v>
      </c>
      <c r="AN19" s="27" t="str">
        <f t="shared" si="6"/>
        <v>ND</v>
      </c>
      <c r="AO19" s="27">
        <f t="shared" si="7"/>
        <v>615.9363792296896</v>
      </c>
      <c r="AP19" s="27">
        <f t="shared" si="8"/>
        <v>709.4963355683767</v>
      </c>
      <c r="AQ19" s="27">
        <f t="shared" si="9"/>
        <v>360.2058319039451</v>
      </c>
      <c r="AR19" s="27" t="str">
        <f t="shared" si="10"/>
        <v>ND</v>
      </c>
      <c r="AS19" s="27" t="str">
        <f t="shared" si="11"/>
        <v>ND</v>
      </c>
      <c r="AT19" s="27">
        <f t="shared" si="12"/>
        <v>517.6984250740683</v>
      </c>
      <c r="AU19" s="27">
        <f t="shared" si="13"/>
        <v>184.00124746608452</v>
      </c>
      <c r="AV19" s="27">
        <f t="shared" si="14"/>
        <v>268.20520817090284</v>
      </c>
      <c r="AW19" s="27">
        <f t="shared" si="15"/>
        <v>291.5951972555746</v>
      </c>
      <c r="AX19" s="27">
        <f t="shared" si="16"/>
        <v>498.98643380633087</v>
      </c>
      <c r="AY19" s="27">
        <f t="shared" si="17"/>
        <v>500.54576641197565</v>
      </c>
      <c r="AZ19" s="27" t="str">
        <f t="shared" si="18"/>
        <v>ND</v>
      </c>
      <c r="BA19" s="27">
        <f t="shared" si="19"/>
        <v>857.6329331046311</v>
      </c>
      <c r="BB19" s="27">
        <f t="shared" si="20"/>
        <v>899.7349134570403</v>
      </c>
      <c r="BC19" s="27" t="str">
        <f t="shared" si="21"/>
        <v>ND</v>
      </c>
      <c r="BD19" s="27" t="str">
        <f t="shared" si="22"/>
        <v>ND</v>
      </c>
      <c r="BE19" s="27">
        <f t="shared" si="23"/>
        <v>484.9524403555278</v>
      </c>
      <c r="BF19" s="27" t="str">
        <f t="shared" si="24"/>
        <v>ND</v>
      </c>
      <c r="BG19" s="27">
        <f t="shared" si="25"/>
        <v>363.32449711523464</v>
      </c>
      <c r="BH19" s="27">
        <f t="shared" si="26"/>
        <v>343.05317324185245</v>
      </c>
      <c r="BI19" s="27" t="str">
        <f t="shared" si="27"/>
        <v>ND</v>
      </c>
      <c r="BJ19" s="27" t="str">
        <f t="shared" si="28"/>
        <v>ND</v>
      </c>
      <c r="BK19" s="27" t="str">
        <f t="shared" si="29"/>
        <v>ND</v>
      </c>
      <c r="BL19" s="27">
        <f t="shared" si="30"/>
        <v>697.0216747232184</v>
      </c>
      <c r="BM19" s="27">
        <f t="shared" si="31"/>
        <v>639.3263683143614</v>
      </c>
      <c r="BN19" s="27"/>
      <c r="BO19" s="27" t="str">
        <f t="shared" si="32"/>
        <v>ND</v>
      </c>
      <c r="BP19" s="27">
        <f t="shared" si="33"/>
        <v>24.949321690316545</v>
      </c>
      <c r="BQ19" s="27" t="str">
        <f t="shared" si="34"/>
        <v>ND</v>
      </c>
      <c r="BR19" s="27">
        <f t="shared" si="35"/>
        <v>222.9845626072041</v>
      </c>
      <c r="BS19" s="27">
        <f t="shared" si="36"/>
        <v>1177.2961172618118</v>
      </c>
      <c r="BT19" s="16"/>
      <c r="BU19" s="34">
        <f t="shared" si="37"/>
        <v>9.952267119237035</v>
      </c>
      <c r="BV19" s="10"/>
    </row>
    <row r="20" spans="1:74" ht="15">
      <c r="A20" s="5" t="s">
        <v>17</v>
      </c>
      <c r="B20" s="9">
        <v>77</v>
      </c>
      <c r="C20" s="14">
        <v>107.7</v>
      </c>
      <c r="D20" s="14">
        <v>21.2</v>
      </c>
      <c r="E20" s="14">
        <v>56.9</v>
      </c>
      <c r="F20" s="14">
        <v>171</v>
      </c>
      <c r="G20" s="14">
        <f>10.7+11.1+54.6</f>
        <v>76.4</v>
      </c>
      <c r="H20" s="14">
        <v>94.2</v>
      </c>
      <c r="I20" s="14">
        <v>17.5</v>
      </c>
      <c r="J20" s="14">
        <v>23.8</v>
      </c>
      <c r="K20" s="14">
        <v>22.9</v>
      </c>
      <c r="L20" s="14">
        <v>36.7</v>
      </c>
      <c r="M20" s="14">
        <v>22.2</v>
      </c>
      <c r="N20" s="14">
        <v>61.6</v>
      </c>
      <c r="O20" s="14">
        <v>109.9</v>
      </c>
      <c r="P20" s="13" t="s">
        <v>38</v>
      </c>
      <c r="Q20" s="14">
        <v>147</v>
      </c>
      <c r="R20" s="14">
        <v>52.3</v>
      </c>
      <c r="S20" s="14">
        <v>169.5</v>
      </c>
      <c r="T20" s="14">
        <f>14+33</f>
        <v>47</v>
      </c>
      <c r="U20" s="14">
        <v>27</v>
      </c>
      <c r="V20" s="14">
        <v>71.4</v>
      </c>
      <c r="W20" s="14">
        <v>73.7</v>
      </c>
      <c r="X20" s="14">
        <v>42</v>
      </c>
      <c r="Y20" s="14">
        <f>27.5+22.9</f>
        <v>50.4</v>
      </c>
      <c r="Z20" s="14">
        <v>93.7</v>
      </c>
      <c r="AA20" s="14">
        <v>90.5</v>
      </c>
      <c r="AB20" s="14">
        <f>55+20.5</f>
        <v>75.5</v>
      </c>
      <c r="AC20" s="14">
        <f>52.7+91.8</f>
        <v>144.5</v>
      </c>
      <c r="AD20" s="16"/>
      <c r="AE20" s="14">
        <v>49.6</v>
      </c>
      <c r="AF20" s="14">
        <v>52.2</v>
      </c>
      <c r="AG20" s="14">
        <v>86</v>
      </c>
      <c r="AH20" s="14">
        <v>121.5</v>
      </c>
      <c r="AI20" s="14">
        <v>137.6</v>
      </c>
      <c r="AJ20" s="16"/>
      <c r="AK20" s="9">
        <v>18.6</v>
      </c>
      <c r="AL20" s="21">
        <f t="shared" si="4"/>
        <v>910.6502416965537</v>
      </c>
      <c r="AM20" s="27">
        <f t="shared" si="5"/>
        <v>1389.3653516295024</v>
      </c>
      <c r="AN20" s="27">
        <f t="shared" si="6"/>
        <v>40.542647746764345</v>
      </c>
      <c r="AO20" s="27">
        <f t="shared" si="7"/>
        <v>597.2243879619522</v>
      </c>
      <c r="AP20" s="27">
        <f t="shared" si="8"/>
        <v>2376.422891002651</v>
      </c>
      <c r="AQ20" s="27">
        <f t="shared" si="9"/>
        <v>901.2942460626851</v>
      </c>
      <c r="AR20" s="27">
        <f t="shared" si="10"/>
        <v>1178.8554498674566</v>
      </c>
      <c r="AS20" s="27" t="str">
        <f t="shared" si="11"/>
        <v>ND</v>
      </c>
      <c r="AT20" s="27">
        <f t="shared" si="12"/>
        <v>81.08529549352875</v>
      </c>
      <c r="AU20" s="27">
        <f t="shared" si="13"/>
        <v>67.05130204272567</v>
      </c>
      <c r="AV20" s="27">
        <f t="shared" si="14"/>
        <v>282.2392016217059</v>
      </c>
      <c r="AW20" s="27">
        <f t="shared" si="15"/>
        <v>56.13597380321219</v>
      </c>
      <c r="AX20" s="27">
        <f t="shared" si="16"/>
        <v>670.5130204272571</v>
      </c>
      <c r="AY20" s="27">
        <f t="shared" si="17"/>
        <v>1423.670668953688</v>
      </c>
      <c r="AZ20" s="27" t="str">
        <f t="shared" si="18"/>
        <v>ND</v>
      </c>
      <c r="BA20" s="27">
        <f t="shared" si="19"/>
        <v>2002.1830656479026</v>
      </c>
      <c r="BB20" s="27">
        <f t="shared" si="20"/>
        <v>525.4950881022921</v>
      </c>
      <c r="BC20" s="27">
        <f t="shared" si="21"/>
        <v>2353.032901917979</v>
      </c>
      <c r="BD20" s="27">
        <f t="shared" si="22"/>
        <v>442.8504600031186</v>
      </c>
      <c r="BE20" s="27">
        <f t="shared" si="23"/>
        <v>130.98393887416182</v>
      </c>
      <c r="BF20" s="27">
        <f t="shared" si="24"/>
        <v>823.327615780446</v>
      </c>
      <c r="BG20" s="27">
        <f t="shared" si="25"/>
        <v>859.1922657102759</v>
      </c>
      <c r="BH20" s="27">
        <f t="shared" si="26"/>
        <v>364.8838297208794</v>
      </c>
      <c r="BI20" s="27">
        <f t="shared" si="27"/>
        <v>495.86776859504124</v>
      </c>
      <c r="BJ20" s="27">
        <f t="shared" si="28"/>
        <v>1171.0587868392327</v>
      </c>
      <c r="BK20" s="27">
        <f t="shared" si="29"/>
        <v>1121.1601434585998</v>
      </c>
      <c r="BL20" s="27">
        <f t="shared" si="30"/>
        <v>887.260252611882</v>
      </c>
      <c r="BM20" s="27">
        <f t="shared" si="31"/>
        <v>1963.199750506783</v>
      </c>
      <c r="BN20" s="27"/>
      <c r="BO20" s="27">
        <f t="shared" si="32"/>
        <v>483.39310774988303</v>
      </c>
      <c r="BP20" s="27">
        <f t="shared" si="33"/>
        <v>523.9357554966474</v>
      </c>
      <c r="BQ20" s="27">
        <f t="shared" si="34"/>
        <v>1050.9901762045845</v>
      </c>
      <c r="BR20" s="27">
        <f t="shared" si="35"/>
        <v>1604.5532512084826</v>
      </c>
      <c r="BS20" s="27">
        <f t="shared" si="36"/>
        <v>1855.6058007172928</v>
      </c>
      <c r="BT20" s="16"/>
      <c r="BU20" s="34">
        <f t="shared" si="37"/>
        <v>27.35398147875405</v>
      </c>
      <c r="BV20" s="10"/>
    </row>
    <row r="21" spans="1:74" ht="15">
      <c r="A21" s="5" t="s">
        <v>18</v>
      </c>
      <c r="B21" s="9">
        <v>168.7</v>
      </c>
      <c r="C21" s="14">
        <v>255</v>
      </c>
      <c r="D21" s="14">
        <v>34.7</v>
      </c>
      <c r="E21" s="14">
        <v>121.7</v>
      </c>
      <c r="F21" s="14">
        <v>488.6</v>
      </c>
      <c r="G21" s="14">
        <f>23+16.6+116.4</f>
        <v>156</v>
      </c>
      <c r="H21" s="14">
        <v>229.1</v>
      </c>
      <c r="I21" s="14">
        <v>44.4</v>
      </c>
      <c r="J21" s="14">
        <v>38.2</v>
      </c>
      <c r="K21" s="16"/>
      <c r="L21" s="14">
        <v>69.7</v>
      </c>
      <c r="M21" s="14">
        <v>46.9</v>
      </c>
      <c r="N21" s="14">
        <v>103.5</v>
      </c>
      <c r="O21" s="14">
        <v>176.1</v>
      </c>
      <c r="P21" s="13" t="s">
        <v>38</v>
      </c>
      <c r="Q21" s="14">
        <v>184</v>
      </c>
      <c r="R21" s="16"/>
      <c r="S21" s="14">
        <v>380.4</v>
      </c>
      <c r="T21" s="14">
        <v>66</v>
      </c>
      <c r="U21" s="14">
        <v>54.9</v>
      </c>
      <c r="V21" s="14">
        <v>148.7</v>
      </c>
      <c r="W21" s="14">
        <v>119.5</v>
      </c>
      <c r="X21" s="14">
        <v>72</v>
      </c>
      <c r="Y21" s="14">
        <v>72</v>
      </c>
      <c r="Z21" s="14">
        <v>264.3</v>
      </c>
      <c r="AA21" s="14">
        <v>158.7</v>
      </c>
      <c r="AB21" s="14">
        <f>110.6+51.4</f>
        <v>162</v>
      </c>
      <c r="AC21" s="14">
        <f>95.9+159.3</f>
        <v>255.20000000000002</v>
      </c>
      <c r="AD21" s="16"/>
      <c r="AE21" s="14">
        <v>97.7</v>
      </c>
      <c r="AF21" s="14">
        <v>86.3</v>
      </c>
      <c r="AG21" s="14">
        <v>165.6</v>
      </c>
      <c r="AH21" s="14">
        <v>304.5</v>
      </c>
      <c r="AI21" s="14">
        <v>196.4</v>
      </c>
      <c r="AJ21" s="16"/>
      <c r="AK21" s="9">
        <v>50.6</v>
      </c>
      <c r="AL21" s="21">
        <f t="shared" si="4"/>
        <v>1841.5718072664897</v>
      </c>
      <c r="AM21" s="27">
        <f t="shared" si="5"/>
        <v>3187.2758459379384</v>
      </c>
      <c r="AN21" s="27" t="str">
        <f t="shared" si="6"/>
        <v>ND</v>
      </c>
      <c r="AO21" s="27">
        <f t="shared" si="7"/>
        <v>1108.6854826134413</v>
      </c>
      <c r="AP21" s="27">
        <f t="shared" si="8"/>
        <v>6829.876812724154</v>
      </c>
      <c r="AQ21" s="27">
        <f t="shared" si="9"/>
        <v>1643.5365663496023</v>
      </c>
      <c r="AR21" s="27">
        <f t="shared" si="10"/>
        <v>2783.408701075939</v>
      </c>
      <c r="AS21" s="27" t="str">
        <f t="shared" si="11"/>
        <v>ND</v>
      </c>
      <c r="AT21" s="27" t="str">
        <f t="shared" si="12"/>
        <v>ND</v>
      </c>
      <c r="AU21" s="27" t="str">
        <f t="shared" si="13"/>
        <v>ND</v>
      </c>
      <c r="AV21" s="27">
        <f t="shared" si="14"/>
        <v>297.8325276781537</v>
      </c>
      <c r="AW21" s="27" t="str">
        <f t="shared" si="15"/>
        <v>ND</v>
      </c>
      <c r="AX21" s="27">
        <f t="shared" si="16"/>
        <v>824.8869483860907</v>
      </c>
      <c r="AY21" s="27">
        <f t="shared" si="17"/>
        <v>1956.9624200842038</v>
      </c>
      <c r="AZ21" s="27" t="str">
        <f t="shared" si="18"/>
        <v>ND</v>
      </c>
      <c r="BA21" s="27">
        <f t="shared" si="19"/>
        <v>2080.1496959301417</v>
      </c>
      <c r="BB21" s="27" t="str">
        <f t="shared" si="20"/>
        <v>ND</v>
      </c>
      <c r="BC21" s="27">
        <f t="shared" si="21"/>
        <v>5142.678933416497</v>
      </c>
      <c r="BD21" s="27">
        <f t="shared" si="22"/>
        <v>240.1372212692967</v>
      </c>
      <c r="BE21" s="27">
        <f t="shared" si="23"/>
        <v>67.05130204272567</v>
      </c>
      <c r="BF21" s="27">
        <f t="shared" si="24"/>
        <v>1529.705286137533</v>
      </c>
      <c r="BG21" s="27">
        <f t="shared" si="25"/>
        <v>1074.3801652892562</v>
      </c>
      <c r="BH21" s="27">
        <f t="shared" si="26"/>
        <v>333.69717760798375</v>
      </c>
      <c r="BI21" s="27">
        <f t="shared" si="27"/>
        <v>333.69717760798375</v>
      </c>
      <c r="BJ21" s="27">
        <f t="shared" si="28"/>
        <v>3332.2937782629033</v>
      </c>
      <c r="BK21" s="27">
        <f t="shared" si="29"/>
        <v>1685.6385467020114</v>
      </c>
      <c r="BL21" s="27">
        <f t="shared" si="30"/>
        <v>1737.0965226882893</v>
      </c>
      <c r="BM21" s="27">
        <f t="shared" si="31"/>
        <v>3190.394511149228</v>
      </c>
      <c r="BN21" s="27"/>
      <c r="BO21" s="27">
        <f t="shared" si="32"/>
        <v>734.4456572586932</v>
      </c>
      <c r="BP21" s="27">
        <f t="shared" si="33"/>
        <v>556.6817402151878</v>
      </c>
      <c r="BQ21" s="27">
        <f t="shared" si="34"/>
        <v>1793.2324964915015</v>
      </c>
      <c r="BR21" s="27">
        <f t="shared" si="35"/>
        <v>3959.1454857321064</v>
      </c>
      <c r="BS21" s="27">
        <f t="shared" si="36"/>
        <v>2273.506939030095</v>
      </c>
      <c r="BT21" s="16"/>
      <c r="BU21" s="34">
        <f t="shared" si="37"/>
        <v>45.9324724526489</v>
      </c>
      <c r="BV21" s="10"/>
    </row>
    <row r="22" spans="1:74" ht="15">
      <c r="A22" s="5" t="s">
        <v>19</v>
      </c>
      <c r="B22" s="10"/>
      <c r="C22" s="14">
        <v>84</v>
      </c>
      <c r="D22" s="16"/>
      <c r="E22" s="16"/>
      <c r="F22" s="14">
        <v>52.2</v>
      </c>
      <c r="G22" s="16"/>
      <c r="H22" s="14">
        <v>83</v>
      </c>
      <c r="I22" s="16"/>
      <c r="J22" s="16"/>
      <c r="K22" s="16"/>
      <c r="L22" s="16"/>
      <c r="M22" s="16"/>
      <c r="N22" s="16"/>
      <c r="O22" s="16"/>
      <c r="P22" s="13" t="s">
        <v>38</v>
      </c>
      <c r="Q22" s="14">
        <v>84</v>
      </c>
      <c r="R22" s="16"/>
      <c r="S22" s="14">
        <v>69.4</v>
      </c>
      <c r="T22" s="16"/>
      <c r="U22" s="16"/>
      <c r="V22" s="16"/>
      <c r="W22" s="16"/>
      <c r="X22" s="16"/>
      <c r="Y22" s="16"/>
      <c r="Z22" s="14">
        <v>114.7</v>
      </c>
      <c r="AA22" s="14">
        <v>84.7</v>
      </c>
      <c r="AB22" s="16"/>
      <c r="AC22" s="16"/>
      <c r="AD22" s="16"/>
      <c r="AE22" s="16"/>
      <c r="AF22" s="16"/>
      <c r="AG22" s="13" t="s">
        <v>38</v>
      </c>
      <c r="AH22" s="16"/>
      <c r="AI22" s="16"/>
      <c r="AJ22" s="16"/>
      <c r="AK22" s="9">
        <v>0</v>
      </c>
      <c r="AL22" s="21" t="str">
        <f t="shared" si="4"/>
        <v>ND</v>
      </c>
      <c r="AM22" s="27">
        <f t="shared" si="5"/>
        <v>1309.8393887416184</v>
      </c>
      <c r="AN22" s="27" t="str">
        <f t="shared" si="6"/>
        <v>ND</v>
      </c>
      <c r="AO22" s="27" t="str">
        <f t="shared" si="7"/>
        <v>ND</v>
      </c>
      <c r="AP22" s="27">
        <f t="shared" si="8"/>
        <v>813.9716201465773</v>
      </c>
      <c r="AQ22" s="27" t="str">
        <f t="shared" si="9"/>
        <v>ND</v>
      </c>
      <c r="AR22" s="27">
        <f t="shared" si="10"/>
        <v>1294.2460626851707</v>
      </c>
      <c r="AS22" s="27" t="str">
        <f t="shared" si="11"/>
        <v>ND</v>
      </c>
      <c r="AT22" s="27" t="str">
        <f t="shared" si="12"/>
        <v>ND</v>
      </c>
      <c r="AU22" s="27" t="str">
        <f t="shared" si="13"/>
        <v>ND</v>
      </c>
      <c r="AV22" s="27" t="str">
        <f t="shared" si="14"/>
        <v>ND</v>
      </c>
      <c r="AW22" s="27" t="str">
        <f t="shared" si="15"/>
        <v>ND</v>
      </c>
      <c r="AX22" s="27" t="str">
        <f t="shared" si="16"/>
        <v>ND</v>
      </c>
      <c r="AY22" s="27" t="str">
        <f t="shared" si="17"/>
        <v>ND</v>
      </c>
      <c r="AZ22" s="27" t="str">
        <f t="shared" si="18"/>
        <v>ND</v>
      </c>
      <c r="BA22" s="27">
        <f t="shared" si="19"/>
        <v>1309.8393887416184</v>
      </c>
      <c r="BB22" s="27" t="str">
        <f t="shared" si="20"/>
        <v>ND</v>
      </c>
      <c r="BC22" s="27">
        <f t="shared" si="21"/>
        <v>1082.1768283174802</v>
      </c>
      <c r="BD22" s="27" t="str">
        <f t="shared" si="22"/>
        <v>ND</v>
      </c>
      <c r="BE22" s="27" t="str">
        <f t="shared" si="23"/>
        <v>ND</v>
      </c>
      <c r="BF22" s="27" t="str">
        <f t="shared" si="24"/>
        <v>ND</v>
      </c>
      <c r="BG22" s="27" t="str">
        <f t="shared" si="25"/>
        <v>ND</v>
      </c>
      <c r="BH22" s="27" t="str">
        <f t="shared" si="26"/>
        <v>ND</v>
      </c>
      <c r="BI22" s="27" t="str">
        <f t="shared" si="27"/>
        <v>ND</v>
      </c>
      <c r="BJ22" s="27">
        <f t="shared" si="28"/>
        <v>1788.5544986745672</v>
      </c>
      <c r="BK22" s="27">
        <f t="shared" si="29"/>
        <v>1320.7547169811319</v>
      </c>
      <c r="BL22" s="27" t="str">
        <f t="shared" si="30"/>
        <v>ND</v>
      </c>
      <c r="BM22" s="27" t="str">
        <f t="shared" si="31"/>
        <v>ND</v>
      </c>
      <c r="BN22" s="27"/>
      <c r="BO22" s="27" t="str">
        <f t="shared" si="32"/>
        <v>ND</v>
      </c>
      <c r="BP22" s="27" t="str">
        <f t="shared" si="33"/>
        <v>ND</v>
      </c>
      <c r="BQ22" s="27" t="str">
        <f t="shared" si="34"/>
        <v>ND</v>
      </c>
      <c r="BR22" s="27" t="str">
        <f t="shared" si="35"/>
        <v>ND</v>
      </c>
      <c r="BS22" s="27" t="str">
        <f t="shared" si="36"/>
        <v>ND</v>
      </c>
      <c r="BT22" s="16"/>
      <c r="BU22" s="34">
        <f t="shared" si="37"/>
        <v>6.479214013971374</v>
      </c>
      <c r="BV22" s="10"/>
    </row>
    <row r="23" spans="1:74" ht="15">
      <c r="A23" s="5" t="s">
        <v>20</v>
      </c>
      <c r="B23" s="9">
        <v>25</v>
      </c>
      <c r="C23" s="14">
        <v>30.6</v>
      </c>
      <c r="D23" s="14">
        <v>6.1</v>
      </c>
      <c r="E23" s="14">
        <v>12</v>
      </c>
      <c r="F23" s="14">
        <v>29.4</v>
      </c>
      <c r="G23" s="14">
        <v>2</v>
      </c>
      <c r="H23" s="14">
        <v>3</v>
      </c>
      <c r="I23" s="14">
        <v>5.5</v>
      </c>
      <c r="J23" s="14">
        <v>1.6</v>
      </c>
      <c r="K23" s="16"/>
      <c r="L23" s="14">
        <v>9.3</v>
      </c>
      <c r="M23" s="14">
        <v>7</v>
      </c>
      <c r="N23" s="14">
        <v>7.2</v>
      </c>
      <c r="O23" s="14">
        <v>1.6</v>
      </c>
      <c r="P23" s="13" t="s">
        <v>38</v>
      </c>
      <c r="Q23" s="14">
        <v>12.7</v>
      </c>
      <c r="R23" s="14">
        <v>2.3</v>
      </c>
      <c r="S23" s="14">
        <v>5.54</v>
      </c>
      <c r="T23" s="14">
        <f>1.7+7.9</f>
        <v>9.6</v>
      </c>
      <c r="U23" s="14">
        <v>3</v>
      </c>
      <c r="V23" s="14">
        <v>9.7</v>
      </c>
      <c r="W23" s="14">
        <v>6.2</v>
      </c>
      <c r="X23" s="14">
        <v>5.7</v>
      </c>
      <c r="Y23" s="14">
        <v>5.5</v>
      </c>
      <c r="Z23" s="14">
        <v>22.41</v>
      </c>
      <c r="AA23" s="14">
        <v>18.98</v>
      </c>
      <c r="AB23" s="14">
        <f>6.3+1.3</f>
        <v>7.6</v>
      </c>
      <c r="AC23" s="14">
        <v>17.1</v>
      </c>
      <c r="AD23" s="16"/>
      <c r="AE23" s="14">
        <v>5.8</v>
      </c>
      <c r="AF23" s="14">
        <v>4.7</v>
      </c>
      <c r="AG23" s="14">
        <v>9</v>
      </c>
      <c r="AH23" s="14">
        <v>6.3</v>
      </c>
      <c r="AI23" s="14">
        <v>15.3</v>
      </c>
      <c r="AJ23" s="16"/>
      <c r="AK23" s="9">
        <v>0</v>
      </c>
      <c r="AL23" s="21">
        <f t="shared" si="4"/>
        <v>389.83315141119596</v>
      </c>
      <c r="AM23" s="27">
        <f t="shared" si="5"/>
        <v>477.1557773273039</v>
      </c>
      <c r="AN23" s="27">
        <f t="shared" si="6"/>
        <v>95.11928894433181</v>
      </c>
      <c r="AO23" s="27">
        <f t="shared" si="7"/>
        <v>187.11991267737406</v>
      </c>
      <c r="AP23" s="27">
        <f t="shared" si="8"/>
        <v>458.44378605956643</v>
      </c>
      <c r="AQ23" s="27">
        <f t="shared" si="9"/>
        <v>31.18665211289568</v>
      </c>
      <c r="AR23" s="27">
        <f t="shared" si="10"/>
        <v>46.779978169343515</v>
      </c>
      <c r="AS23" s="27">
        <f t="shared" si="11"/>
        <v>85.76329331046311</v>
      </c>
      <c r="AT23" s="27">
        <f t="shared" si="12"/>
        <v>24.949321690316545</v>
      </c>
      <c r="AU23" s="27" t="str">
        <f t="shared" si="13"/>
        <v>ND</v>
      </c>
      <c r="AV23" s="27">
        <f t="shared" si="14"/>
        <v>145.0179323249649</v>
      </c>
      <c r="AW23" s="27">
        <f t="shared" si="15"/>
        <v>109.15328239513487</v>
      </c>
      <c r="AX23" s="27">
        <f t="shared" si="16"/>
        <v>112.27194760642445</v>
      </c>
      <c r="AY23" s="27">
        <f t="shared" si="17"/>
        <v>24.949321690316545</v>
      </c>
      <c r="AZ23" s="27" t="str">
        <f t="shared" si="18"/>
        <v>ND</v>
      </c>
      <c r="BA23" s="27">
        <f t="shared" si="19"/>
        <v>198.03524091688755</v>
      </c>
      <c r="BB23" s="27">
        <f t="shared" si="20"/>
        <v>35.86464992983003</v>
      </c>
      <c r="BC23" s="27">
        <f t="shared" si="21"/>
        <v>86.38702635272102</v>
      </c>
      <c r="BD23" s="27">
        <f t="shared" si="22"/>
        <v>149.69593014189925</v>
      </c>
      <c r="BE23" s="27">
        <f t="shared" si="23"/>
        <v>46.779978169343515</v>
      </c>
      <c r="BF23" s="27">
        <f t="shared" si="24"/>
        <v>151.25526274754404</v>
      </c>
      <c r="BG23" s="27">
        <f t="shared" si="25"/>
        <v>96.6786215499766</v>
      </c>
      <c r="BH23" s="27">
        <f t="shared" si="26"/>
        <v>88.88195852175268</v>
      </c>
      <c r="BI23" s="27">
        <f t="shared" si="27"/>
        <v>85.76329331046311</v>
      </c>
      <c r="BJ23" s="27">
        <f t="shared" si="28"/>
        <v>349.4464369249961</v>
      </c>
      <c r="BK23" s="27">
        <f t="shared" si="29"/>
        <v>295.96132855138</v>
      </c>
      <c r="BL23" s="27">
        <f t="shared" si="30"/>
        <v>118.50927802900357</v>
      </c>
      <c r="BM23" s="27">
        <f t="shared" si="31"/>
        <v>266.64587556525805</v>
      </c>
      <c r="BN23" s="27"/>
      <c r="BO23" s="27">
        <f t="shared" si="32"/>
        <v>90.44129112739746</v>
      </c>
      <c r="BP23" s="27">
        <f t="shared" si="33"/>
        <v>73.28863246530484</v>
      </c>
      <c r="BQ23" s="27">
        <f t="shared" si="34"/>
        <v>140.33993450803055</v>
      </c>
      <c r="BR23" s="27">
        <f t="shared" si="35"/>
        <v>98.23795415562138</v>
      </c>
      <c r="BS23" s="27">
        <f t="shared" si="36"/>
        <v>238.57788866365195</v>
      </c>
      <c r="BT23" s="16"/>
      <c r="BU23" s="34">
        <f t="shared" si="37"/>
        <v>4.178077678658421</v>
      </c>
      <c r="BV23" s="10"/>
    </row>
    <row r="24" spans="1:74" ht="15">
      <c r="A24" s="5" t="s">
        <v>21</v>
      </c>
      <c r="B24" s="9">
        <v>3.4</v>
      </c>
      <c r="C24" s="14">
        <v>4.1</v>
      </c>
      <c r="D24" s="16"/>
      <c r="E24" s="14">
        <v>1.8</v>
      </c>
      <c r="F24" s="14">
        <v>2.2</v>
      </c>
      <c r="G24" s="14">
        <f>0.3+0.4</f>
        <v>0.7</v>
      </c>
      <c r="H24" s="16"/>
      <c r="I24" s="16"/>
      <c r="J24" s="16"/>
      <c r="K24" s="16"/>
      <c r="L24" s="14">
        <v>1.7</v>
      </c>
      <c r="M24" s="14">
        <v>0.8</v>
      </c>
      <c r="N24" s="14">
        <v>1</v>
      </c>
      <c r="O24" s="16"/>
      <c r="P24" s="16"/>
      <c r="Q24" s="14">
        <v>1.4</v>
      </c>
      <c r="R24" s="14">
        <v>1.3</v>
      </c>
      <c r="S24" s="14">
        <v>1.18</v>
      </c>
      <c r="T24" s="16"/>
      <c r="U24" s="14">
        <v>1.2</v>
      </c>
      <c r="V24" s="14">
        <v>2.6</v>
      </c>
      <c r="W24" s="14">
        <v>0.9</v>
      </c>
      <c r="X24" s="14">
        <v>1.8</v>
      </c>
      <c r="Y24" s="14">
        <v>0.9</v>
      </c>
      <c r="Z24" s="14">
        <v>5.3</v>
      </c>
      <c r="AA24" s="14">
        <v>2.27</v>
      </c>
      <c r="AB24" s="14">
        <f>1.8+0.5</f>
        <v>2.3</v>
      </c>
      <c r="AC24" s="14">
        <v>3.5</v>
      </c>
      <c r="AD24" s="16"/>
      <c r="AE24" s="14">
        <v>0.8</v>
      </c>
      <c r="AF24" s="14">
        <v>0.9</v>
      </c>
      <c r="AG24" s="14">
        <v>2.3</v>
      </c>
      <c r="AH24" s="14">
        <v>0.7</v>
      </c>
      <c r="AI24" s="14">
        <v>4.3</v>
      </c>
      <c r="AJ24" s="16"/>
      <c r="AK24" s="9">
        <v>0</v>
      </c>
      <c r="AL24" s="21">
        <f t="shared" si="4"/>
        <v>53.01730859192265</v>
      </c>
      <c r="AM24" s="27">
        <f t="shared" si="5"/>
        <v>63.932636831436135</v>
      </c>
      <c r="AN24" s="27" t="str">
        <f t="shared" si="6"/>
        <v>ND</v>
      </c>
      <c r="AO24" s="27">
        <f t="shared" si="7"/>
        <v>28.067986901606112</v>
      </c>
      <c r="AP24" s="27">
        <f t="shared" si="8"/>
        <v>34.305317324185246</v>
      </c>
      <c r="AQ24" s="27">
        <f t="shared" si="9"/>
        <v>10.915328239513487</v>
      </c>
      <c r="AR24" s="27" t="str">
        <f t="shared" si="10"/>
        <v>ND</v>
      </c>
      <c r="AS24" s="27" t="str">
        <f t="shared" si="11"/>
        <v>ND</v>
      </c>
      <c r="AT24" s="27" t="str">
        <f t="shared" si="12"/>
        <v>ND</v>
      </c>
      <c r="AU24" s="27" t="str">
        <f t="shared" si="13"/>
        <v>ND</v>
      </c>
      <c r="AV24" s="27">
        <f t="shared" si="14"/>
        <v>26.508654295961325</v>
      </c>
      <c r="AW24" s="27">
        <f t="shared" si="15"/>
        <v>12.474660845158272</v>
      </c>
      <c r="AX24" s="27">
        <f t="shared" si="16"/>
        <v>15.59332605644784</v>
      </c>
      <c r="AY24" s="27" t="str">
        <f t="shared" si="17"/>
        <v>ND</v>
      </c>
      <c r="AZ24" s="27" t="str">
        <f t="shared" si="18"/>
        <v>ND</v>
      </c>
      <c r="BA24" s="27">
        <f t="shared" si="19"/>
        <v>21.830656479026974</v>
      </c>
      <c r="BB24" s="27">
        <f t="shared" si="20"/>
        <v>20.27132387338219</v>
      </c>
      <c r="BC24" s="27">
        <f t="shared" si="21"/>
        <v>18.400124746608448</v>
      </c>
      <c r="BD24" s="27" t="str">
        <f t="shared" si="22"/>
        <v>ND</v>
      </c>
      <c r="BE24" s="27">
        <f t="shared" si="23"/>
        <v>18.711991267737407</v>
      </c>
      <c r="BF24" s="27">
        <f t="shared" si="24"/>
        <v>40.54264774676438</v>
      </c>
      <c r="BG24" s="27">
        <f t="shared" si="25"/>
        <v>14.033993450803056</v>
      </c>
      <c r="BH24" s="27">
        <f t="shared" si="26"/>
        <v>28.067986901606112</v>
      </c>
      <c r="BI24" s="27">
        <f t="shared" si="27"/>
        <v>14.033993450803056</v>
      </c>
      <c r="BJ24" s="27">
        <f t="shared" si="28"/>
        <v>82.64462809917354</v>
      </c>
      <c r="BK24" s="27">
        <f t="shared" si="29"/>
        <v>35.39685014813659</v>
      </c>
      <c r="BL24" s="27">
        <f t="shared" si="30"/>
        <v>35.86464992983003</v>
      </c>
      <c r="BM24" s="27">
        <f t="shared" si="31"/>
        <v>54.57664119756743</v>
      </c>
      <c r="BN24" s="27"/>
      <c r="BO24" s="27">
        <f t="shared" si="32"/>
        <v>12.474660845158272</v>
      </c>
      <c r="BP24" s="27">
        <f t="shared" si="33"/>
        <v>14.033993450803056</v>
      </c>
      <c r="BQ24" s="27">
        <f t="shared" si="34"/>
        <v>35.86464992983003</v>
      </c>
      <c r="BR24" s="27">
        <f t="shared" si="35"/>
        <v>10.915328239513487</v>
      </c>
      <c r="BS24" s="27">
        <f t="shared" si="36"/>
        <v>67.05130204272571</v>
      </c>
      <c r="BT24" s="16"/>
      <c r="BU24" s="34">
        <f t="shared" si="37"/>
        <v>0.6500041918650629</v>
      </c>
      <c r="BV24" s="10"/>
    </row>
    <row r="25" spans="1:74" ht="15">
      <c r="A25" s="5" t="s">
        <v>22</v>
      </c>
      <c r="B25" s="5" t="s">
        <v>38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9">
        <v>0</v>
      </c>
      <c r="AL25" s="21" t="str">
        <f t="shared" si="4"/>
        <v>ND</v>
      </c>
      <c r="AM25" s="27" t="str">
        <f t="shared" si="5"/>
        <v>ND</v>
      </c>
      <c r="AN25" s="27" t="str">
        <f t="shared" si="6"/>
        <v>ND</v>
      </c>
      <c r="AO25" s="27" t="str">
        <f t="shared" si="7"/>
        <v>ND</v>
      </c>
      <c r="AP25" s="27" t="str">
        <f t="shared" si="8"/>
        <v>ND</v>
      </c>
      <c r="AQ25" s="27" t="str">
        <f t="shared" si="9"/>
        <v>ND</v>
      </c>
      <c r="AR25" s="27" t="str">
        <f t="shared" si="10"/>
        <v>ND</v>
      </c>
      <c r="AS25" s="27" t="str">
        <f t="shared" si="11"/>
        <v>ND</v>
      </c>
      <c r="AT25" s="27" t="str">
        <f t="shared" si="12"/>
        <v>ND</v>
      </c>
      <c r="AU25" s="27" t="str">
        <f t="shared" si="13"/>
        <v>ND</v>
      </c>
      <c r="AV25" s="27" t="str">
        <f t="shared" si="14"/>
        <v>ND</v>
      </c>
      <c r="AW25" s="27" t="str">
        <f t="shared" si="15"/>
        <v>ND</v>
      </c>
      <c r="AX25" s="27" t="str">
        <f t="shared" si="16"/>
        <v>ND</v>
      </c>
      <c r="AY25" s="27" t="str">
        <f t="shared" si="17"/>
        <v>ND</v>
      </c>
      <c r="AZ25" s="27" t="str">
        <f t="shared" si="18"/>
        <v>ND</v>
      </c>
      <c r="BA25" s="27" t="str">
        <f t="shared" si="19"/>
        <v>ND</v>
      </c>
      <c r="BB25" s="27" t="str">
        <f t="shared" si="20"/>
        <v>ND</v>
      </c>
      <c r="BC25" s="27" t="str">
        <f t="shared" si="21"/>
        <v>ND</v>
      </c>
      <c r="BD25" s="27" t="str">
        <f t="shared" si="22"/>
        <v>ND</v>
      </c>
      <c r="BE25" s="27" t="str">
        <f t="shared" si="23"/>
        <v>ND</v>
      </c>
      <c r="BF25" s="27" t="str">
        <f t="shared" si="24"/>
        <v>ND</v>
      </c>
      <c r="BG25" s="27" t="str">
        <f t="shared" si="25"/>
        <v>ND</v>
      </c>
      <c r="BH25" s="27" t="str">
        <f t="shared" si="26"/>
        <v>ND</v>
      </c>
      <c r="BI25" s="27" t="str">
        <f t="shared" si="27"/>
        <v>ND</v>
      </c>
      <c r="BJ25" s="27" t="str">
        <f t="shared" si="28"/>
        <v>ND</v>
      </c>
      <c r="BK25" s="27" t="str">
        <f t="shared" si="29"/>
        <v>ND</v>
      </c>
      <c r="BL25" s="27" t="str">
        <f t="shared" si="30"/>
        <v>ND</v>
      </c>
      <c r="BM25" s="27" t="str">
        <f t="shared" si="31"/>
        <v>ND</v>
      </c>
      <c r="BN25" s="27"/>
      <c r="BO25" s="27" t="str">
        <f t="shared" si="32"/>
        <v>ND</v>
      </c>
      <c r="BP25" s="27" t="str">
        <f t="shared" si="33"/>
        <v>ND</v>
      </c>
      <c r="BQ25" s="27" t="str">
        <f t="shared" si="34"/>
        <v>ND</v>
      </c>
      <c r="BR25" s="27" t="str">
        <f t="shared" si="35"/>
        <v>ND</v>
      </c>
      <c r="BS25" s="27" t="str">
        <f t="shared" si="36"/>
        <v>ND</v>
      </c>
      <c r="BT25" s="16"/>
      <c r="BU25" s="34">
        <f t="shared" si="37"/>
        <v>0</v>
      </c>
      <c r="BV25" s="10"/>
    </row>
    <row r="26" spans="1:74" ht="15">
      <c r="A26" s="5" t="s">
        <v>23</v>
      </c>
      <c r="B26" s="9">
        <v>1.1</v>
      </c>
      <c r="C26" s="14">
        <v>2.3</v>
      </c>
      <c r="D26" s="16"/>
      <c r="E26" s="14">
        <v>0.9</v>
      </c>
      <c r="F26" s="14">
        <v>0.8</v>
      </c>
      <c r="G26" s="16"/>
      <c r="H26" s="16"/>
      <c r="I26" s="16"/>
      <c r="J26" s="16"/>
      <c r="K26" s="14">
        <v>0.6</v>
      </c>
      <c r="L26" s="16"/>
      <c r="M26" s="16"/>
      <c r="N26" s="16"/>
      <c r="O26" s="16"/>
      <c r="P26" s="16"/>
      <c r="Q26" s="16"/>
      <c r="R26" s="16"/>
      <c r="S26" s="14">
        <v>0.19</v>
      </c>
      <c r="T26" s="16"/>
      <c r="U26" s="16"/>
      <c r="V26" s="14">
        <v>0.7</v>
      </c>
      <c r="W26" s="16"/>
      <c r="X26" s="16"/>
      <c r="Y26" s="16"/>
      <c r="Z26" s="14">
        <v>1.97</v>
      </c>
      <c r="AA26" s="14">
        <v>2.21</v>
      </c>
      <c r="AB26" s="14">
        <v>1.7</v>
      </c>
      <c r="AC26" s="14">
        <v>2.2</v>
      </c>
      <c r="AD26" s="16"/>
      <c r="AE26" s="16"/>
      <c r="AF26" s="16"/>
      <c r="AG26" s="16"/>
      <c r="AH26" s="16"/>
      <c r="AI26" s="14">
        <v>2</v>
      </c>
      <c r="AJ26" s="16"/>
      <c r="AK26" s="9">
        <v>0</v>
      </c>
      <c r="AL26" s="21">
        <f t="shared" si="4"/>
        <v>17.152658662092623</v>
      </c>
      <c r="AM26" s="27">
        <f t="shared" si="5"/>
        <v>35.86464992983003</v>
      </c>
      <c r="AN26" s="27" t="str">
        <f t="shared" si="6"/>
        <v>ND</v>
      </c>
      <c r="AO26" s="27">
        <f t="shared" si="7"/>
        <v>14.033993450803056</v>
      </c>
      <c r="AP26" s="27">
        <f t="shared" si="8"/>
        <v>12.474660845158272</v>
      </c>
      <c r="AQ26" s="27" t="str">
        <f t="shared" si="9"/>
        <v>ND</v>
      </c>
      <c r="AR26" s="27" t="str">
        <f t="shared" si="10"/>
        <v>ND</v>
      </c>
      <c r="AS26" s="27" t="str">
        <f t="shared" si="11"/>
        <v>ND</v>
      </c>
      <c r="AT26" s="27" t="str">
        <f t="shared" si="12"/>
        <v>ND</v>
      </c>
      <c r="AU26" s="27">
        <f t="shared" si="13"/>
        <v>9.355995633868703</v>
      </c>
      <c r="AV26" s="27" t="str">
        <f t="shared" si="14"/>
        <v>ND</v>
      </c>
      <c r="AW26" s="27" t="str">
        <f t="shared" si="15"/>
        <v>ND</v>
      </c>
      <c r="AX26" s="27" t="str">
        <f t="shared" si="16"/>
        <v>ND</v>
      </c>
      <c r="AY26" s="27" t="str">
        <f t="shared" si="17"/>
        <v>ND</v>
      </c>
      <c r="AZ26" s="27" t="str">
        <f t="shared" si="18"/>
        <v>ND</v>
      </c>
      <c r="BA26" s="27" t="str">
        <f t="shared" si="19"/>
        <v>ND</v>
      </c>
      <c r="BB26" s="27" t="str">
        <f t="shared" si="20"/>
        <v>ND</v>
      </c>
      <c r="BC26" s="27">
        <f t="shared" si="21"/>
        <v>2.9627319507250895</v>
      </c>
      <c r="BD26" s="27" t="str">
        <f t="shared" si="22"/>
        <v>ND</v>
      </c>
      <c r="BE26" s="27" t="str">
        <f t="shared" si="23"/>
        <v>ND</v>
      </c>
      <c r="BF26" s="27">
        <f t="shared" si="24"/>
        <v>10.915328239513487</v>
      </c>
      <c r="BG26" s="27" t="str">
        <f t="shared" si="25"/>
        <v>ND</v>
      </c>
      <c r="BH26" s="27" t="str">
        <f t="shared" si="26"/>
        <v>ND</v>
      </c>
      <c r="BI26" s="27" t="str">
        <f t="shared" si="27"/>
        <v>ND</v>
      </c>
      <c r="BJ26" s="27">
        <f t="shared" si="28"/>
        <v>30.718852331202243</v>
      </c>
      <c r="BK26" s="27">
        <f t="shared" si="29"/>
        <v>34.46125058474972</v>
      </c>
      <c r="BL26" s="27">
        <f t="shared" si="30"/>
        <v>26.508654295961325</v>
      </c>
      <c r="BM26" s="27">
        <f t="shared" si="31"/>
        <v>34.305317324185246</v>
      </c>
      <c r="BN26" s="27"/>
      <c r="BO26" s="27" t="str">
        <f t="shared" si="32"/>
        <v>ND</v>
      </c>
      <c r="BP26" s="27" t="str">
        <f t="shared" si="33"/>
        <v>ND</v>
      </c>
      <c r="BQ26" s="27" t="str">
        <f t="shared" si="34"/>
        <v>ND</v>
      </c>
      <c r="BR26" s="27" t="str">
        <f t="shared" si="35"/>
        <v>ND</v>
      </c>
      <c r="BS26" s="27">
        <f t="shared" si="36"/>
        <v>31.18665211289568</v>
      </c>
      <c r="BT26" s="16"/>
      <c r="BU26" s="34">
        <f t="shared" si="37"/>
        <v>0.19960075317618745</v>
      </c>
      <c r="BV26" s="10"/>
    </row>
    <row r="27" spans="1:74" ht="15">
      <c r="A27" s="5" t="s">
        <v>24</v>
      </c>
      <c r="B27" s="10"/>
      <c r="C27" s="14">
        <v>1.7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9">
        <v>0</v>
      </c>
      <c r="AL27" s="21" t="str">
        <f t="shared" si="4"/>
        <v>ND</v>
      </c>
      <c r="AM27" s="27">
        <f t="shared" si="5"/>
        <v>26.508654295961325</v>
      </c>
      <c r="AN27" s="27" t="str">
        <f t="shared" si="6"/>
        <v>ND</v>
      </c>
      <c r="AO27" s="27" t="str">
        <f t="shared" si="7"/>
        <v>ND</v>
      </c>
      <c r="AP27" s="27" t="str">
        <f t="shared" si="8"/>
        <v>ND</v>
      </c>
      <c r="AQ27" s="27" t="str">
        <f t="shared" si="9"/>
        <v>ND</v>
      </c>
      <c r="AR27" s="27" t="str">
        <f t="shared" si="10"/>
        <v>ND</v>
      </c>
      <c r="AS27" s="27" t="str">
        <f t="shared" si="11"/>
        <v>ND</v>
      </c>
      <c r="AT27" s="27" t="str">
        <f t="shared" si="12"/>
        <v>ND</v>
      </c>
      <c r="AU27" s="27" t="str">
        <f t="shared" si="13"/>
        <v>ND</v>
      </c>
      <c r="AV27" s="27" t="str">
        <f t="shared" si="14"/>
        <v>ND</v>
      </c>
      <c r="AW27" s="27" t="str">
        <f t="shared" si="15"/>
        <v>ND</v>
      </c>
      <c r="AX27" s="27" t="str">
        <f t="shared" si="16"/>
        <v>ND</v>
      </c>
      <c r="AY27" s="27" t="str">
        <f t="shared" si="17"/>
        <v>ND</v>
      </c>
      <c r="AZ27" s="27" t="str">
        <f t="shared" si="18"/>
        <v>ND</v>
      </c>
      <c r="BA27" s="27" t="str">
        <f t="shared" si="19"/>
        <v>ND</v>
      </c>
      <c r="BB27" s="27" t="str">
        <f t="shared" si="20"/>
        <v>ND</v>
      </c>
      <c r="BC27" s="27" t="str">
        <f t="shared" si="21"/>
        <v>ND</v>
      </c>
      <c r="BD27" s="27" t="str">
        <f t="shared" si="22"/>
        <v>ND</v>
      </c>
      <c r="BE27" s="27" t="str">
        <f t="shared" si="23"/>
        <v>ND</v>
      </c>
      <c r="BF27" s="27" t="str">
        <f t="shared" si="24"/>
        <v>ND</v>
      </c>
      <c r="BG27" s="27" t="str">
        <f t="shared" si="25"/>
        <v>ND</v>
      </c>
      <c r="BH27" s="27" t="str">
        <f t="shared" si="26"/>
        <v>ND</v>
      </c>
      <c r="BI27" s="27" t="str">
        <f t="shared" si="27"/>
        <v>ND</v>
      </c>
      <c r="BJ27" s="27" t="str">
        <f t="shared" si="28"/>
        <v>ND</v>
      </c>
      <c r="BK27" s="27" t="str">
        <f t="shared" si="29"/>
        <v>ND</v>
      </c>
      <c r="BL27" s="27" t="str">
        <f t="shared" si="30"/>
        <v>ND</v>
      </c>
      <c r="BM27" s="27" t="str">
        <f t="shared" si="31"/>
        <v>ND</v>
      </c>
      <c r="BN27" s="27"/>
      <c r="BO27" s="27" t="str">
        <f t="shared" si="32"/>
        <v>ND</v>
      </c>
      <c r="BP27" s="27" t="str">
        <f t="shared" si="33"/>
        <v>ND</v>
      </c>
      <c r="BQ27" s="27" t="str">
        <f t="shared" si="34"/>
        <v>ND</v>
      </c>
      <c r="BR27" s="27" t="str">
        <f t="shared" si="35"/>
        <v>ND</v>
      </c>
      <c r="BS27" s="27" t="str">
        <f t="shared" si="36"/>
        <v>ND</v>
      </c>
      <c r="BT27" s="16"/>
      <c r="BU27" s="34">
        <f t="shared" si="37"/>
        <v>0</v>
      </c>
      <c r="BV27" s="10"/>
    </row>
    <row r="28" spans="1:74" ht="15">
      <c r="A28" s="5" t="s">
        <v>25</v>
      </c>
      <c r="B28" s="9">
        <v>4.3</v>
      </c>
      <c r="C28" s="14">
        <v>5.4</v>
      </c>
      <c r="D28" s="14">
        <v>0.8</v>
      </c>
      <c r="E28" s="14">
        <v>2.1</v>
      </c>
      <c r="F28" s="14">
        <v>2.9</v>
      </c>
      <c r="G28" s="14">
        <f>1+1.5</f>
        <v>2.5</v>
      </c>
      <c r="H28" s="14">
        <v>1</v>
      </c>
      <c r="I28" s="14">
        <v>0.7</v>
      </c>
      <c r="J28" s="14">
        <v>1.5</v>
      </c>
      <c r="K28" s="16"/>
      <c r="L28" s="14">
        <v>1.2</v>
      </c>
      <c r="M28" s="14">
        <v>1.1</v>
      </c>
      <c r="N28" s="14">
        <v>1.5</v>
      </c>
      <c r="O28" s="14">
        <v>1</v>
      </c>
      <c r="P28" s="13" t="s">
        <v>38</v>
      </c>
      <c r="Q28" s="14">
        <v>2.8</v>
      </c>
      <c r="R28" s="16"/>
      <c r="S28" s="16"/>
      <c r="T28" s="14">
        <v>2.6</v>
      </c>
      <c r="U28" s="14">
        <v>2.9</v>
      </c>
      <c r="V28" s="14">
        <v>2.6</v>
      </c>
      <c r="W28" s="16"/>
      <c r="X28" s="14">
        <v>4.1</v>
      </c>
      <c r="Y28" s="14">
        <f>1.9+1.9</f>
        <v>3.8</v>
      </c>
      <c r="Z28" s="14">
        <v>4.62</v>
      </c>
      <c r="AA28" s="14">
        <v>4.04</v>
      </c>
      <c r="AB28" s="14">
        <v>3.4</v>
      </c>
      <c r="AC28" s="14">
        <v>4.7</v>
      </c>
      <c r="AD28" s="16"/>
      <c r="AE28" s="14">
        <v>3.8</v>
      </c>
      <c r="AF28" s="16"/>
      <c r="AG28" s="14">
        <v>4.8</v>
      </c>
      <c r="AH28" s="14">
        <v>1.8</v>
      </c>
      <c r="AI28" s="14">
        <v>4.2</v>
      </c>
      <c r="AJ28" s="16"/>
      <c r="AK28" s="9">
        <v>1.5</v>
      </c>
      <c r="AL28" s="21">
        <f t="shared" si="4"/>
        <v>43.66131295805395</v>
      </c>
      <c r="AM28" s="27">
        <f t="shared" si="5"/>
        <v>60.813971620146575</v>
      </c>
      <c r="AN28" s="27" t="str">
        <f t="shared" si="6"/>
        <v>ND</v>
      </c>
      <c r="AO28" s="27">
        <f t="shared" si="7"/>
        <v>9.355995633868705</v>
      </c>
      <c r="AP28" s="27">
        <f t="shared" si="8"/>
        <v>21.830656479026974</v>
      </c>
      <c r="AQ28" s="27">
        <f t="shared" si="9"/>
        <v>15.59332605644784</v>
      </c>
      <c r="AR28" s="27" t="str">
        <f t="shared" si="10"/>
        <v>ND</v>
      </c>
      <c r="AS28" s="27" t="str">
        <f t="shared" si="11"/>
        <v>ND</v>
      </c>
      <c r="AT28" s="27" t="str">
        <f t="shared" si="12"/>
        <v>ND</v>
      </c>
      <c r="AU28" s="27" t="str">
        <f t="shared" si="13"/>
        <v>ND</v>
      </c>
      <c r="AV28" s="27" t="str">
        <f t="shared" si="14"/>
        <v>ND</v>
      </c>
      <c r="AW28" s="27" t="str">
        <f t="shared" si="15"/>
        <v>ND</v>
      </c>
      <c r="AX28" s="27" t="str">
        <f t="shared" si="16"/>
        <v>ND</v>
      </c>
      <c r="AY28" s="27" t="str">
        <f t="shared" si="17"/>
        <v>ND</v>
      </c>
      <c r="AZ28" s="27" t="str">
        <f t="shared" si="18"/>
        <v>ND</v>
      </c>
      <c r="BA28" s="27">
        <f t="shared" si="19"/>
        <v>20.271323873382187</v>
      </c>
      <c r="BB28" s="27" t="str">
        <f t="shared" si="20"/>
        <v>ND</v>
      </c>
      <c r="BC28" s="27" t="str">
        <f t="shared" si="21"/>
        <v>ND</v>
      </c>
      <c r="BD28" s="27">
        <f t="shared" si="22"/>
        <v>17.152658662092623</v>
      </c>
      <c r="BE28" s="27">
        <f t="shared" si="23"/>
        <v>21.830656479026974</v>
      </c>
      <c r="BF28" s="27">
        <f t="shared" si="24"/>
        <v>17.152658662092623</v>
      </c>
      <c r="BG28" s="27" t="str">
        <f t="shared" si="25"/>
        <v>ND</v>
      </c>
      <c r="BH28" s="27">
        <f t="shared" si="26"/>
        <v>40.54264774676437</v>
      </c>
      <c r="BI28" s="27">
        <f t="shared" si="27"/>
        <v>35.86464992983003</v>
      </c>
      <c r="BJ28" s="27">
        <f t="shared" si="28"/>
        <v>48.65117729611726</v>
      </c>
      <c r="BK28" s="27">
        <f t="shared" si="29"/>
        <v>39.60704818337751</v>
      </c>
      <c r="BL28" s="27">
        <f t="shared" si="30"/>
        <v>29.627319507250892</v>
      </c>
      <c r="BM28" s="27">
        <f t="shared" si="31"/>
        <v>49.89864338063309</v>
      </c>
      <c r="BN28" s="27"/>
      <c r="BO28" s="27">
        <f t="shared" si="32"/>
        <v>35.86464992983003</v>
      </c>
      <c r="BP28" s="27" t="str">
        <f t="shared" si="33"/>
        <v>ND</v>
      </c>
      <c r="BQ28" s="27">
        <f t="shared" si="34"/>
        <v>51.457975986277866</v>
      </c>
      <c r="BR28" s="27">
        <f t="shared" si="35"/>
        <v>4.677997816934353</v>
      </c>
      <c r="BS28" s="27">
        <f t="shared" si="36"/>
        <v>42.101980352409164</v>
      </c>
      <c r="BT28" s="16"/>
      <c r="BU28" s="34">
        <f t="shared" si="37"/>
        <v>0.5248631979172096</v>
      </c>
      <c r="BV28" s="10"/>
    </row>
    <row r="29" spans="1:74" ht="15">
      <c r="A29" s="5" t="s">
        <v>26</v>
      </c>
      <c r="B29" s="9">
        <v>1.2</v>
      </c>
      <c r="C29" s="14">
        <v>2.6</v>
      </c>
      <c r="D29" s="16"/>
      <c r="E29" s="14">
        <v>0.7</v>
      </c>
      <c r="F29" s="14">
        <v>1.4</v>
      </c>
      <c r="G29" s="16"/>
      <c r="H29" s="14">
        <v>0.4</v>
      </c>
      <c r="I29" s="14">
        <v>0.2</v>
      </c>
      <c r="J29" s="16"/>
      <c r="K29" s="16"/>
      <c r="L29" s="16"/>
      <c r="M29" s="14">
        <v>0.7</v>
      </c>
      <c r="N29" s="14">
        <v>1.6</v>
      </c>
      <c r="O29" s="16"/>
      <c r="P29" s="13" t="s">
        <v>38</v>
      </c>
      <c r="Q29" s="14">
        <v>3</v>
      </c>
      <c r="R29" s="16"/>
      <c r="S29" s="14">
        <v>6.4</v>
      </c>
      <c r="T29" s="16"/>
      <c r="U29" s="14">
        <v>1.9</v>
      </c>
      <c r="V29" s="16"/>
      <c r="W29" s="14">
        <v>0.5</v>
      </c>
      <c r="X29" s="16"/>
      <c r="Y29" s="14">
        <v>1.4</v>
      </c>
      <c r="Z29" s="14">
        <v>5.4</v>
      </c>
      <c r="AA29" s="14">
        <v>2.5</v>
      </c>
      <c r="AB29" s="14">
        <v>2.2</v>
      </c>
      <c r="AC29" s="14">
        <v>4.1</v>
      </c>
      <c r="AD29" s="16"/>
      <c r="AE29" s="16"/>
      <c r="AF29" s="14">
        <v>2.3</v>
      </c>
      <c r="AG29" s="14">
        <v>2.3</v>
      </c>
      <c r="AH29" s="14">
        <v>0.9</v>
      </c>
      <c r="AI29" s="14">
        <v>3.3</v>
      </c>
      <c r="AJ29" s="16"/>
      <c r="AK29" s="9">
        <v>0</v>
      </c>
      <c r="AL29" s="21">
        <f t="shared" si="4"/>
        <v>18.711991267737407</v>
      </c>
      <c r="AM29" s="27">
        <f t="shared" si="5"/>
        <v>40.54264774676438</v>
      </c>
      <c r="AN29" s="27" t="str">
        <f t="shared" si="6"/>
        <v>ND</v>
      </c>
      <c r="AO29" s="27">
        <f t="shared" si="7"/>
        <v>10.915328239513487</v>
      </c>
      <c r="AP29" s="27">
        <f t="shared" si="8"/>
        <v>21.830656479026974</v>
      </c>
      <c r="AQ29" s="27" t="str">
        <f t="shared" si="9"/>
        <v>ND</v>
      </c>
      <c r="AR29" s="27">
        <f t="shared" si="10"/>
        <v>6.237330422579136</v>
      </c>
      <c r="AS29" s="27">
        <f t="shared" si="11"/>
        <v>3.118665211289568</v>
      </c>
      <c r="AT29" s="27" t="str">
        <f t="shared" si="12"/>
        <v>ND</v>
      </c>
      <c r="AU29" s="27" t="str">
        <f t="shared" si="13"/>
        <v>ND</v>
      </c>
      <c r="AV29" s="27" t="str">
        <f t="shared" si="14"/>
        <v>ND</v>
      </c>
      <c r="AW29" s="27">
        <f t="shared" si="15"/>
        <v>10.915328239513487</v>
      </c>
      <c r="AX29" s="27">
        <f t="shared" si="16"/>
        <v>24.949321690316545</v>
      </c>
      <c r="AY29" s="27" t="str">
        <f t="shared" si="17"/>
        <v>ND</v>
      </c>
      <c r="AZ29" s="27" t="str">
        <f t="shared" si="18"/>
        <v>ND</v>
      </c>
      <c r="BA29" s="27">
        <f t="shared" si="19"/>
        <v>46.779978169343515</v>
      </c>
      <c r="BB29" s="27" t="str">
        <f t="shared" si="20"/>
        <v>ND</v>
      </c>
      <c r="BC29" s="27">
        <f t="shared" si="21"/>
        <v>99.79728676126618</v>
      </c>
      <c r="BD29" s="27" t="str">
        <f t="shared" si="22"/>
        <v>ND</v>
      </c>
      <c r="BE29" s="27">
        <f t="shared" si="23"/>
        <v>29.627319507250892</v>
      </c>
      <c r="BF29" s="27" t="str">
        <f t="shared" si="24"/>
        <v>ND</v>
      </c>
      <c r="BG29" s="27">
        <f t="shared" si="25"/>
        <v>7.79666302822392</v>
      </c>
      <c r="BH29" s="27" t="str">
        <f t="shared" si="26"/>
        <v>ND</v>
      </c>
      <c r="BI29" s="27">
        <f t="shared" si="27"/>
        <v>21.830656479026974</v>
      </c>
      <c r="BJ29" s="27">
        <f t="shared" si="28"/>
        <v>84.20396070481833</v>
      </c>
      <c r="BK29" s="27">
        <f t="shared" si="29"/>
        <v>38.9833151411196</v>
      </c>
      <c r="BL29" s="27">
        <f t="shared" si="30"/>
        <v>34.305317324185246</v>
      </c>
      <c r="BM29" s="27">
        <f t="shared" si="31"/>
        <v>63.932636831436135</v>
      </c>
      <c r="BN29" s="27"/>
      <c r="BO29" s="27" t="str">
        <f t="shared" si="32"/>
        <v>ND</v>
      </c>
      <c r="BP29" s="27">
        <f t="shared" si="33"/>
        <v>35.86464992983003</v>
      </c>
      <c r="BQ29" s="27">
        <f t="shared" si="34"/>
        <v>35.86464992983003</v>
      </c>
      <c r="BR29" s="27">
        <f t="shared" si="35"/>
        <v>14.033993450803056</v>
      </c>
      <c r="BS29" s="27">
        <f t="shared" si="36"/>
        <v>51.457975986277866</v>
      </c>
      <c r="BT29" s="16"/>
      <c r="BU29" s="34">
        <f t="shared" si="37"/>
        <v>0.6300441165474441</v>
      </c>
      <c r="BV29" s="10"/>
    </row>
    <row r="30" spans="1:74" ht="15">
      <c r="A30" s="5" t="s">
        <v>27</v>
      </c>
      <c r="B30" s="9">
        <v>5.9</v>
      </c>
      <c r="C30" s="14">
        <v>9.5</v>
      </c>
      <c r="D30" s="16"/>
      <c r="E30" s="14">
        <v>2.6</v>
      </c>
      <c r="F30" s="14">
        <v>2.6</v>
      </c>
      <c r="G30" s="14">
        <f>0.3+0.3+4.4</f>
        <v>5</v>
      </c>
      <c r="H30" s="16"/>
      <c r="I30" s="16"/>
      <c r="J30" s="14">
        <v>0.8</v>
      </c>
      <c r="K30" s="14">
        <v>1.5</v>
      </c>
      <c r="L30" s="16"/>
      <c r="M30" s="14">
        <v>1.8</v>
      </c>
      <c r="N30" s="14">
        <v>27.7</v>
      </c>
      <c r="O30" s="16"/>
      <c r="P30" s="13" t="s">
        <v>38</v>
      </c>
      <c r="Q30" s="14">
        <v>10</v>
      </c>
      <c r="R30" s="14">
        <v>2</v>
      </c>
      <c r="S30" s="14">
        <v>7.5</v>
      </c>
      <c r="T30" s="14">
        <f>4+3.4</f>
        <v>7.4</v>
      </c>
      <c r="U30" s="16"/>
      <c r="V30" s="16"/>
      <c r="W30" s="14">
        <v>2.2</v>
      </c>
      <c r="X30" s="14">
        <v>6.9</v>
      </c>
      <c r="Y30" s="16"/>
      <c r="Z30" s="14">
        <v>6</v>
      </c>
      <c r="AA30" s="14">
        <v>8.1</v>
      </c>
      <c r="AB30" s="14">
        <v>1.5</v>
      </c>
      <c r="AC30" s="16"/>
      <c r="AD30" s="16"/>
      <c r="AE30" s="16"/>
      <c r="AF30" s="14">
        <v>64.3</v>
      </c>
      <c r="AG30" s="16"/>
      <c r="AH30" s="14">
        <v>3.2</v>
      </c>
      <c r="AI30" s="14">
        <v>4.6</v>
      </c>
      <c r="AJ30" s="16"/>
      <c r="AK30" s="9">
        <v>0</v>
      </c>
      <c r="AL30" s="21">
        <f t="shared" si="4"/>
        <v>92.00062373304226</v>
      </c>
      <c r="AM30" s="27">
        <f t="shared" si="5"/>
        <v>148.13659753625447</v>
      </c>
      <c r="AN30" s="27" t="str">
        <f t="shared" si="6"/>
        <v>ND</v>
      </c>
      <c r="AO30" s="27">
        <f t="shared" si="7"/>
        <v>40.54264774676438</v>
      </c>
      <c r="AP30" s="27">
        <f t="shared" si="8"/>
        <v>40.54264774676438</v>
      </c>
      <c r="AQ30" s="27">
        <f t="shared" si="9"/>
        <v>77.9666302822392</v>
      </c>
      <c r="AR30" s="27" t="str">
        <f t="shared" si="10"/>
        <v>ND</v>
      </c>
      <c r="AS30" s="27" t="str">
        <f t="shared" si="11"/>
        <v>ND</v>
      </c>
      <c r="AT30" s="27">
        <f t="shared" si="12"/>
        <v>12.474660845158272</v>
      </c>
      <c r="AU30" s="27">
        <f t="shared" si="13"/>
        <v>23.389989084671758</v>
      </c>
      <c r="AV30" s="27" t="str">
        <f t="shared" si="14"/>
        <v>ND</v>
      </c>
      <c r="AW30" s="27">
        <f t="shared" si="15"/>
        <v>28.067986901606112</v>
      </c>
      <c r="AX30" s="27">
        <f t="shared" si="16"/>
        <v>431.9351317636051</v>
      </c>
      <c r="AY30" s="27" t="str">
        <f t="shared" si="17"/>
        <v>ND</v>
      </c>
      <c r="AZ30" s="27" t="str">
        <f t="shared" si="18"/>
        <v>ND</v>
      </c>
      <c r="BA30" s="27">
        <f t="shared" si="19"/>
        <v>155.9332605644784</v>
      </c>
      <c r="BB30" s="27">
        <f t="shared" si="20"/>
        <v>31.18665211289568</v>
      </c>
      <c r="BC30" s="27">
        <f t="shared" si="21"/>
        <v>116.94994542335878</v>
      </c>
      <c r="BD30" s="27">
        <f t="shared" si="22"/>
        <v>115.39061281771401</v>
      </c>
      <c r="BE30" s="27" t="str">
        <f t="shared" si="23"/>
        <v>ND</v>
      </c>
      <c r="BF30" s="27" t="str">
        <f t="shared" si="24"/>
        <v>ND</v>
      </c>
      <c r="BG30" s="27">
        <f t="shared" si="25"/>
        <v>34.305317324185246</v>
      </c>
      <c r="BH30" s="27">
        <f t="shared" si="26"/>
        <v>107.5939497894901</v>
      </c>
      <c r="BI30" s="27" t="str">
        <f t="shared" si="27"/>
        <v>ND</v>
      </c>
      <c r="BJ30" s="27">
        <f t="shared" si="28"/>
        <v>93.55995633868703</v>
      </c>
      <c r="BK30" s="27">
        <f t="shared" si="29"/>
        <v>126.30594105722749</v>
      </c>
      <c r="BL30" s="27">
        <f t="shared" si="30"/>
        <v>23.389989084671758</v>
      </c>
      <c r="BM30" s="27" t="str">
        <f t="shared" si="31"/>
        <v>ND</v>
      </c>
      <c r="BN30" s="27"/>
      <c r="BO30" s="27" t="str">
        <f t="shared" si="32"/>
        <v>ND</v>
      </c>
      <c r="BP30" s="27">
        <f t="shared" si="33"/>
        <v>1002.650865429596</v>
      </c>
      <c r="BQ30" s="27" t="str">
        <f t="shared" si="34"/>
        <v>ND</v>
      </c>
      <c r="BR30" s="27">
        <f t="shared" si="35"/>
        <v>49.89864338063309</v>
      </c>
      <c r="BS30" s="27">
        <f t="shared" si="36"/>
        <v>71.72929985966006</v>
      </c>
      <c r="BT30" s="16"/>
      <c r="BU30" s="34">
        <f t="shared" si="37"/>
        <v>2.7423407827684882</v>
      </c>
      <c r="BV30" s="10"/>
    </row>
    <row r="31" spans="1:74" ht="15">
      <c r="A31" s="5" t="s">
        <v>28</v>
      </c>
      <c r="B31" s="10"/>
      <c r="C31" s="16"/>
      <c r="D31" s="16"/>
      <c r="E31" s="14">
        <v>7.4</v>
      </c>
      <c r="F31" s="16"/>
      <c r="G31" s="16"/>
      <c r="H31" s="16"/>
      <c r="I31" s="16"/>
      <c r="J31" s="14">
        <v>5</v>
      </c>
      <c r="K31" s="16"/>
      <c r="L31" s="16"/>
      <c r="M31" s="16"/>
      <c r="N31" s="16"/>
      <c r="O31" s="16"/>
      <c r="P31" s="13" t="s">
        <v>38</v>
      </c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4">
        <v>0.2</v>
      </c>
      <c r="AH31" s="16"/>
      <c r="AI31" s="16"/>
      <c r="AJ31" s="16"/>
      <c r="AK31" s="9">
        <v>0.2</v>
      </c>
      <c r="AL31" s="21" t="str">
        <f t="shared" si="4"/>
        <v>ND</v>
      </c>
      <c r="AM31" s="27" t="str">
        <f t="shared" si="5"/>
        <v>ND</v>
      </c>
      <c r="AN31" s="27" t="str">
        <f t="shared" si="6"/>
        <v>ND</v>
      </c>
      <c r="AO31" s="27">
        <f t="shared" si="7"/>
        <v>112.27194760642445</v>
      </c>
      <c r="AP31" s="27" t="str">
        <f t="shared" si="8"/>
        <v>ND</v>
      </c>
      <c r="AQ31" s="27" t="str">
        <f t="shared" si="9"/>
        <v>ND</v>
      </c>
      <c r="AR31" s="27" t="str">
        <f t="shared" si="10"/>
        <v>ND</v>
      </c>
      <c r="AS31" s="27" t="str">
        <f t="shared" si="11"/>
        <v>ND</v>
      </c>
      <c r="AT31" s="27">
        <f t="shared" si="12"/>
        <v>74.84796507094963</v>
      </c>
      <c r="AU31" s="27" t="str">
        <f t="shared" si="13"/>
        <v>ND</v>
      </c>
      <c r="AV31" s="27" t="str">
        <f t="shared" si="14"/>
        <v>ND</v>
      </c>
      <c r="AW31" s="27" t="str">
        <f t="shared" si="15"/>
        <v>ND</v>
      </c>
      <c r="AX31" s="27" t="str">
        <f t="shared" si="16"/>
        <v>ND</v>
      </c>
      <c r="AY31" s="27" t="str">
        <f t="shared" si="17"/>
        <v>ND</v>
      </c>
      <c r="AZ31" s="27" t="str">
        <f t="shared" si="18"/>
        <v>ND</v>
      </c>
      <c r="BA31" s="27" t="str">
        <f t="shared" si="19"/>
        <v>ND</v>
      </c>
      <c r="BB31" s="27" t="str">
        <f t="shared" si="20"/>
        <v>ND</v>
      </c>
      <c r="BC31" s="27" t="str">
        <f t="shared" si="21"/>
        <v>ND</v>
      </c>
      <c r="BD31" s="27" t="str">
        <f t="shared" si="22"/>
        <v>ND</v>
      </c>
      <c r="BE31" s="27" t="str">
        <f t="shared" si="23"/>
        <v>ND</v>
      </c>
      <c r="BF31" s="27" t="str">
        <f t="shared" si="24"/>
        <v>ND</v>
      </c>
      <c r="BG31" s="27" t="str">
        <f t="shared" si="25"/>
        <v>ND</v>
      </c>
      <c r="BH31" s="27" t="str">
        <f t="shared" si="26"/>
        <v>ND</v>
      </c>
      <c r="BI31" s="27" t="str">
        <f t="shared" si="27"/>
        <v>ND</v>
      </c>
      <c r="BJ31" s="27" t="str">
        <f t="shared" si="28"/>
        <v>ND</v>
      </c>
      <c r="BK31" s="27" t="str">
        <f t="shared" si="29"/>
        <v>ND</v>
      </c>
      <c r="BL31" s="27" t="str">
        <f t="shared" si="30"/>
        <v>ND</v>
      </c>
      <c r="BM31" s="27" t="str">
        <f t="shared" si="31"/>
        <v>ND</v>
      </c>
      <c r="BN31" s="27"/>
      <c r="BO31" s="27" t="str">
        <f t="shared" si="32"/>
        <v>ND</v>
      </c>
      <c r="BP31" s="27" t="str">
        <f t="shared" si="33"/>
        <v>ND</v>
      </c>
      <c r="BQ31" s="27" t="str">
        <f t="shared" si="34"/>
        <v>ND</v>
      </c>
      <c r="BR31" s="27" t="str">
        <f t="shared" si="35"/>
        <v>ND</v>
      </c>
      <c r="BS31" s="27" t="str">
        <f t="shared" si="36"/>
        <v>ND</v>
      </c>
      <c r="BT31" s="16"/>
      <c r="BU31" s="34">
        <f t="shared" si="37"/>
        <v>0.0833116187170174</v>
      </c>
      <c r="BV31" s="10"/>
    </row>
    <row r="32" spans="1:74" ht="15">
      <c r="A32" s="5" t="s">
        <v>29</v>
      </c>
      <c r="B32" s="9">
        <v>18</v>
      </c>
      <c r="C32" s="14">
        <v>26.4</v>
      </c>
      <c r="D32" s="16"/>
      <c r="E32" s="14">
        <v>11.7</v>
      </c>
      <c r="F32" s="14">
        <v>11.9</v>
      </c>
      <c r="G32" s="14">
        <v>4.4</v>
      </c>
      <c r="H32" s="16"/>
      <c r="I32" s="14">
        <v>5.1</v>
      </c>
      <c r="J32" s="16"/>
      <c r="K32" s="14">
        <v>21.9</v>
      </c>
      <c r="L32" s="16"/>
      <c r="M32" s="14">
        <v>9</v>
      </c>
      <c r="N32" s="14">
        <v>8.1</v>
      </c>
      <c r="O32" s="16"/>
      <c r="P32" s="13" t="s">
        <v>38</v>
      </c>
      <c r="Q32" s="14">
        <v>16</v>
      </c>
      <c r="R32" s="16"/>
      <c r="S32" s="14">
        <v>29.5</v>
      </c>
      <c r="T32" s="16"/>
      <c r="U32" s="14">
        <v>5.8</v>
      </c>
      <c r="V32" s="14">
        <v>8.7</v>
      </c>
      <c r="W32" s="14">
        <v>5.1</v>
      </c>
      <c r="X32" s="14">
        <v>9</v>
      </c>
      <c r="Y32" s="14">
        <f>2.8+7</f>
        <v>9.8</v>
      </c>
      <c r="Z32" s="14">
        <v>24.7</v>
      </c>
      <c r="AA32" s="14">
        <v>14.9</v>
      </c>
      <c r="AB32" s="14">
        <v>9.7</v>
      </c>
      <c r="AC32" s="14">
        <v>27.6</v>
      </c>
      <c r="AD32" s="16"/>
      <c r="AE32" s="16"/>
      <c r="AF32" s="14">
        <v>8.7</v>
      </c>
      <c r="AG32" s="14">
        <v>16.8</v>
      </c>
      <c r="AH32" s="16"/>
      <c r="AI32" s="14">
        <v>21.4</v>
      </c>
      <c r="AJ32" s="16"/>
      <c r="AK32" s="9">
        <v>0</v>
      </c>
      <c r="AL32" s="21">
        <f t="shared" si="4"/>
        <v>280.6798690160611</v>
      </c>
      <c r="AM32" s="27">
        <f t="shared" si="5"/>
        <v>411.6638078902229</v>
      </c>
      <c r="AN32" s="27" t="str">
        <f t="shared" si="6"/>
        <v>ND</v>
      </c>
      <c r="AO32" s="27">
        <f t="shared" si="7"/>
        <v>182.4419148604397</v>
      </c>
      <c r="AP32" s="27">
        <f t="shared" si="8"/>
        <v>185.56058007172928</v>
      </c>
      <c r="AQ32" s="27">
        <f t="shared" si="9"/>
        <v>68.61063464837049</v>
      </c>
      <c r="AR32" s="27" t="str">
        <f t="shared" si="10"/>
        <v>ND</v>
      </c>
      <c r="AS32" s="27">
        <f t="shared" si="11"/>
        <v>79.52596288788398</v>
      </c>
      <c r="AT32" s="27" t="str">
        <f t="shared" si="12"/>
        <v>ND</v>
      </c>
      <c r="AU32" s="27">
        <f t="shared" si="13"/>
        <v>341.49384063620766</v>
      </c>
      <c r="AV32" s="27" t="str">
        <f t="shared" si="14"/>
        <v>ND</v>
      </c>
      <c r="AW32" s="27">
        <f t="shared" si="15"/>
        <v>140.33993450803055</v>
      </c>
      <c r="AX32" s="27">
        <f t="shared" si="16"/>
        <v>126.30594105722749</v>
      </c>
      <c r="AY32" s="27" t="str">
        <f t="shared" si="17"/>
        <v>ND</v>
      </c>
      <c r="AZ32" s="27" t="str">
        <f t="shared" si="18"/>
        <v>ND</v>
      </c>
      <c r="BA32" s="27">
        <f t="shared" si="19"/>
        <v>249.49321690316543</v>
      </c>
      <c r="BB32" s="27" t="str">
        <f t="shared" si="20"/>
        <v>ND</v>
      </c>
      <c r="BC32" s="27">
        <f t="shared" si="21"/>
        <v>460.0031186652112</v>
      </c>
      <c r="BD32" s="27" t="str">
        <f t="shared" si="22"/>
        <v>ND</v>
      </c>
      <c r="BE32" s="27">
        <f t="shared" si="23"/>
        <v>90.44129112739746</v>
      </c>
      <c r="BF32" s="27">
        <f t="shared" si="24"/>
        <v>135.66193669109617</v>
      </c>
      <c r="BG32" s="27">
        <f t="shared" si="25"/>
        <v>79.52596288788398</v>
      </c>
      <c r="BH32" s="27">
        <f t="shared" si="26"/>
        <v>140.33993450803055</v>
      </c>
      <c r="BI32" s="27">
        <f t="shared" si="27"/>
        <v>152.81459535318882</v>
      </c>
      <c r="BJ32" s="27">
        <f t="shared" si="28"/>
        <v>385.1551535942616</v>
      </c>
      <c r="BK32" s="27">
        <f t="shared" si="29"/>
        <v>232.3405582410728</v>
      </c>
      <c r="BL32" s="27">
        <f t="shared" si="30"/>
        <v>151.25526274754404</v>
      </c>
      <c r="BM32" s="27">
        <f t="shared" si="31"/>
        <v>430.3757991579604</v>
      </c>
      <c r="BN32" s="27"/>
      <c r="BO32" s="27" t="str">
        <f t="shared" si="32"/>
        <v>ND</v>
      </c>
      <c r="BP32" s="27">
        <f t="shared" si="33"/>
        <v>135.66193669109617</v>
      </c>
      <c r="BQ32" s="27">
        <f t="shared" si="34"/>
        <v>261.9678777483237</v>
      </c>
      <c r="BR32" s="27" t="str">
        <f t="shared" si="35"/>
        <v>ND</v>
      </c>
      <c r="BS32" s="27">
        <f t="shared" si="36"/>
        <v>333.69717760798375</v>
      </c>
      <c r="BT32" s="16"/>
      <c r="BU32" s="34">
        <f t="shared" si="37"/>
        <v>4.460642918806974</v>
      </c>
      <c r="BV32" s="10"/>
    </row>
    <row r="33" spans="1:74" ht="15">
      <c r="A33" s="5" t="s">
        <v>30</v>
      </c>
      <c r="B33" s="10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9">
        <v>0</v>
      </c>
      <c r="AL33" s="21" t="str">
        <f t="shared" si="4"/>
        <v>ND</v>
      </c>
      <c r="AM33" s="27" t="str">
        <f t="shared" si="5"/>
        <v>ND</v>
      </c>
      <c r="AN33" s="27" t="str">
        <f t="shared" si="6"/>
        <v>ND</v>
      </c>
      <c r="AO33" s="27" t="str">
        <f t="shared" si="7"/>
        <v>ND</v>
      </c>
      <c r="AP33" s="27" t="str">
        <f t="shared" si="8"/>
        <v>ND</v>
      </c>
      <c r="AQ33" s="27" t="str">
        <f t="shared" si="9"/>
        <v>ND</v>
      </c>
      <c r="AR33" s="27" t="str">
        <f t="shared" si="10"/>
        <v>ND</v>
      </c>
      <c r="AS33" s="27" t="str">
        <f t="shared" si="11"/>
        <v>ND</v>
      </c>
      <c r="AT33" s="27" t="str">
        <f t="shared" si="12"/>
        <v>ND</v>
      </c>
      <c r="AU33" s="27" t="str">
        <f t="shared" si="13"/>
        <v>ND</v>
      </c>
      <c r="AV33" s="27" t="str">
        <f t="shared" si="14"/>
        <v>ND</v>
      </c>
      <c r="AW33" s="27" t="str">
        <f t="shared" si="15"/>
        <v>ND</v>
      </c>
      <c r="AX33" s="27" t="str">
        <f t="shared" si="16"/>
        <v>ND</v>
      </c>
      <c r="AY33" s="27" t="str">
        <f t="shared" si="17"/>
        <v>ND</v>
      </c>
      <c r="AZ33" s="27" t="str">
        <f t="shared" si="18"/>
        <v>ND</v>
      </c>
      <c r="BA33" s="27" t="str">
        <f t="shared" si="19"/>
        <v>ND</v>
      </c>
      <c r="BB33" s="27" t="str">
        <f t="shared" si="20"/>
        <v>ND</v>
      </c>
      <c r="BC33" s="27" t="str">
        <f t="shared" si="21"/>
        <v>ND</v>
      </c>
      <c r="BD33" s="27" t="str">
        <f t="shared" si="22"/>
        <v>ND</v>
      </c>
      <c r="BE33" s="27" t="str">
        <f t="shared" si="23"/>
        <v>ND</v>
      </c>
      <c r="BF33" s="27" t="str">
        <f t="shared" si="24"/>
        <v>ND</v>
      </c>
      <c r="BG33" s="27" t="str">
        <f t="shared" si="25"/>
        <v>ND</v>
      </c>
      <c r="BH33" s="27" t="str">
        <f t="shared" si="26"/>
        <v>ND</v>
      </c>
      <c r="BI33" s="27" t="str">
        <f t="shared" si="27"/>
        <v>ND</v>
      </c>
      <c r="BJ33" s="27" t="str">
        <f t="shared" si="28"/>
        <v>ND</v>
      </c>
      <c r="BK33" s="27" t="str">
        <f t="shared" si="29"/>
        <v>ND</v>
      </c>
      <c r="BL33" s="27" t="str">
        <f t="shared" si="30"/>
        <v>ND</v>
      </c>
      <c r="BM33" s="27" t="str">
        <f t="shared" si="31"/>
        <v>ND</v>
      </c>
      <c r="BN33" s="27"/>
      <c r="BO33" s="27" t="str">
        <f t="shared" si="32"/>
        <v>ND</v>
      </c>
      <c r="BP33" s="27" t="str">
        <f t="shared" si="33"/>
        <v>ND</v>
      </c>
      <c r="BQ33" s="27" t="str">
        <f t="shared" si="34"/>
        <v>ND</v>
      </c>
      <c r="BR33" s="27" t="str">
        <f t="shared" si="35"/>
        <v>ND</v>
      </c>
      <c r="BS33" s="27" t="str">
        <f t="shared" si="36"/>
        <v>ND</v>
      </c>
      <c r="BT33" s="16"/>
      <c r="BU33" s="34">
        <f t="shared" si="37"/>
        <v>0</v>
      </c>
      <c r="BV33" s="10"/>
    </row>
    <row r="34" spans="1:74" ht="15.75" thickBot="1">
      <c r="A34" s="5" t="s">
        <v>31</v>
      </c>
      <c r="B34" s="1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9">
        <v>0</v>
      </c>
      <c r="AL34" s="21" t="str">
        <f t="shared" si="4"/>
        <v>ND</v>
      </c>
      <c r="AM34" s="27" t="str">
        <f t="shared" si="5"/>
        <v>ND</v>
      </c>
      <c r="AN34" s="27" t="str">
        <f t="shared" si="6"/>
        <v>ND</v>
      </c>
      <c r="AO34" s="27" t="str">
        <f t="shared" si="7"/>
        <v>ND</v>
      </c>
      <c r="AP34" s="27" t="str">
        <f t="shared" si="8"/>
        <v>ND</v>
      </c>
      <c r="AQ34" s="27" t="str">
        <f t="shared" si="9"/>
        <v>ND</v>
      </c>
      <c r="AR34" s="27" t="str">
        <f t="shared" si="10"/>
        <v>ND</v>
      </c>
      <c r="AS34" s="27" t="str">
        <f t="shared" si="11"/>
        <v>ND</v>
      </c>
      <c r="AT34" s="27" t="str">
        <f t="shared" si="12"/>
        <v>ND</v>
      </c>
      <c r="AU34" s="27" t="str">
        <f t="shared" si="13"/>
        <v>ND</v>
      </c>
      <c r="AV34" s="27" t="str">
        <f t="shared" si="14"/>
        <v>ND</v>
      </c>
      <c r="AW34" s="27" t="str">
        <f t="shared" si="15"/>
        <v>ND</v>
      </c>
      <c r="AX34" s="27" t="str">
        <f t="shared" si="16"/>
        <v>ND</v>
      </c>
      <c r="AY34" s="27" t="str">
        <f t="shared" si="17"/>
        <v>ND</v>
      </c>
      <c r="AZ34" s="27" t="str">
        <f t="shared" si="18"/>
        <v>ND</v>
      </c>
      <c r="BA34" s="27" t="str">
        <f t="shared" si="19"/>
        <v>ND</v>
      </c>
      <c r="BB34" s="27" t="str">
        <f t="shared" si="20"/>
        <v>ND</v>
      </c>
      <c r="BC34" s="27" t="str">
        <f t="shared" si="21"/>
        <v>ND</v>
      </c>
      <c r="BD34" s="27" t="str">
        <f t="shared" si="22"/>
        <v>ND</v>
      </c>
      <c r="BE34" s="27" t="str">
        <f t="shared" si="23"/>
        <v>ND</v>
      </c>
      <c r="BF34" s="27" t="str">
        <f t="shared" si="24"/>
        <v>ND</v>
      </c>
      <c r="BG34" s="27" t="str">
        <f t="shared" si="25"/>
        <v>ND</v>
      </c>
      <c r="BH34" s="27" t="str">
        <f t="shared" si="26"/>
        <v>ND</v>
      </c>
      <c r="BI34" s="27" t="str">
        <f t="shared" si="27"/>
        <v>ND</v>
      </c>
      <c r="BJ34" s="27" t="str">
        <f t="shared" si="28"/>
        <v>ND</v>
      </c>
      <c r="BK34" s="27" t="str">
        <f t="shared" si="29"/>
        <v>ND</v>
      </c>
      <c r="BL34" s="27" t="str">
        <f t="shared" si="30"/>
        <v>ND</v>
      </c>
      <c r="BM34" s="27" t="str">
        <f t="shared" si="31"/>
        <v>ND</v>
      </c>
      <c r="BN34" s="27"/>
      <c r="BO34" s="27" t="str">
        <f t="shared" si="32"/>
        <v>ND</v>
      </c>
      <c r="BP34" s="27" t="str">
        <f t="shared" si="33"/>
        <v>ND</v>
      </c>
      <c r="BQ34" s="27" t="str">
        <f t="shared" si="34"/>
        <v>ND</v>
      </c>
      <c r="BR34" s="27" t="str">
        <f t="shared" si="35"/>
        <v>ND</v>
      </c>
      <c r="BS34" s="27" t="str">
        <f t="shared" si="36"/>
        <v>ND</v>
      </c>
      <c r="BT34" s="16"/>
      <c r="BU34" s="34">
        <f t="shared" si="37"/>
        <v>0</v>
      </c>
      <c r="BV34" s="10"/>
    </row>
    <row r="35" spans="1:74" ht="16.5" thickBot="1" thickTop="1">
      <c r="A35" s="4" t="s">
        <v>32</v>
      </c>
      <c r="B35" s="6"/>
      <c r="C35" s="15"/>
      <c r="D35" s="12">
        <v>280</v>
      </c>
      <c r="E35" s="12">
        <v>2140</v>
      </c>
      <c r="F35" s="15"/>
      <c r="G35" s="12">
        <f>520+430+770</f>
        <v>1720</v>
      </c>
      <c r="H35" s="15"/>
      <c r="I35" s="12">
        <v>510</v>
      </c>
      <c r="J35" s="12">
        <v>700</v>
      </c>
      <c r="K35" s="17" t="s">
        <v>38</v>
      </c>
      <c r="L35" s="12">
        <v>750</v>
      </c>
      <c r="M35" s="12">
        <v>540</v>
      </c>
      <c r="N35" s="12">
        <v>1790</v>
      </c>
      <c r="O35" s="15"/>
      <c r="P35" s="15"/>
      <c r="Q35" s="15"/>
      <c r="R35" s="15"/>
      <c r="S35" s="12">
        <v>1440</v>
      </c>
      <c r="T35" s="12">
        <f>160+910</f>
        <v>1070</v>
      </c>
      <c r="U35" s="12">
        <v>960</v>
      </c>
      <c r="V35" s="15"/>
      <c r="W35" s="12">
        <v>1500</v>
      </c>
      <c r="X35" s="12">
        <v>1520</v>
      </c>
      <c r="Y35" s="12">
        <f>270+870</f>
        <v>1140</v>
      </c>
      <c r="Z35" s="12">
        <v>5940</v>
      </c>
      <c r="AA35" s="12">
        <v>4210</v>
      </c>
      <c r="AB35" s="12">
        <f>55510+1370</f>
        <v>56880</v>
      </c>
      <c r="AC35" s="12">
        <f>1970+4070</f>
        <v>6040</v>
      </c>
      <c r="AD35" s="15"/>
      <c r="AE35" s="12">
        <v>1450</v>
      </c>
      <c r="AF35" s="12">
        <v>1260</v>
      </c>
      <c r="AG35" s="12">
        <v>1870</v>
      </c>
      <c r="AH35" s="12">
        <v>750</v>
      </c>
      <c r="AI35" s="12">
        <v>2950</v>
      </c>
      <c r="AJ35" s="16"/>
      <c r="AK35" s="18" t="s">
        <v>38</v>
      </c>
      <c r="AL35" s="22" t="str">
        <f aca="true" t="shared" si="38" ref="AL35:BM35">IF(B35=0,"ND",B35/0.06413)</f>
        <v>ND</v>
      </c>
      <c r="AM35" s="24" t="str">
        <f t="shared" si="38"/>
        <v>ND</v>
      </c>
      <c r="AN35" s="24">
        <f t="shared" si="38"/>
        <v>4366.131295805395</v>
      </c>
      <c r="AO35" s="24">
        <f t="shared" si="38"/>
        <v>33369.717760798376</v>
      </c>
      <c r="AP35" s="24" t="str">
        <f t="shared" si="38"/>
        <v>ND</v>
      </c>
      <c r="AQ35" s="24">
        <f t="shared" si="38"/>
        <v>26820.520817090284</v>
      </c>
      <c r="AR35" s="24" t="str">
        <f t="shared" si="38"/>
        <v>ND</v>
      </c>
      <c r="AS35" s="24">
        <f t="shared" si="38"/>
        <v>7952.596288788398</v>
      </c>
      <c r="AT35" s="24">
        <f t="shared" si="38"/>
        <v>10915.328239513487</v>
      </c>
      <c r="AU35" s="24" t="str">
        <f t="shared" si="38"/>
        <v>ND</v>
      </c>
      <c r="AV35" s="24">
        <f t="shared" si="38"/>
        <v>11694.994542335879</v>
      </c>
      <c r="AW35" s="24">
        <f t="shared" si="38"/>
        <v>8420.396070481833</v>
      </c>
      <c r="AX35" s="24">
        <f t="shared" si="38"/>
        <v>27912.05364104163</v>
      </c>
      <c r="AY35" s="24" t="str">
        <f t="shared" si="38"/>
        <v>ND</v>
      </c>
      <c r="AZ35" s="24" t="str">
        <f t="shared" si="38"/>
        <v>ND</v>
      </c>
      <c r="BA35" s="24" t="str">
        <f t="shared" si="38"/>
        <v>ND</v>
      </c>
      <c r="BB35" s="24" t="str">
        <f t="shared" si="38"/>
        <v>ND</v>
      </c>
      <c r="BC35" s="24">
        <f t="shared" si="38"/>
        <v>22454.389521284887</v>
      </c>
      <c r="BD35" s="24">
        <f t="shared" si="38"/>
        <v>16684.858880399188</v>
      </c>
      <c r="BE35" s="24">
        <f t="shared" si="38"/>
        <v>14969.593014189924</v>
      </c>
      <c r="BF35" s="24" t="str">
        <f t="shared" si="38"/>
        <v>ND</v>
      </c>
      <c r="BG35" s="24">
        <f t="shared" si="38"/>
        <v>23389.989084671757</v>
      </c>
      <c r="BH35" s="24">
        <f t="shared" si="38"/>
        <v>23701.855605800716</v>
      </c>
      <c r="BI35" s="24">
        <f t="shared" si="38"/>
        <v>17776.391704350535</v>
      </c>
      <c r="BJ35" s="24">
        <f t="shared" si="38"/>
        <v>92624.35677530016</v>
      </c>
      <c r="BK35" s="24">
        <f t="shared" si="38"/>
        <v>65647.9026976454</v>
      </c>
      <c r="BL35" s="24">
        <f t="shared" si="38"/>
        <v>886948.386090753</v>
      </c>
      <c r="BM35" s="24">
        <f t="shared" si="38"/>
        <v>94183.68938094494</v>
      </c>
      <c r="BN35" s="24"/>
      <c r="BO35" s="24">
        <f>IF(AE35=0,"ND",AE35/0.06413)</f>
        <v>22610.322781849365</v>
      </c>
      <c r="BP35" s="24">
        <f>IF(AF35=0,"ND",AF35/0.06413)</f>
        <v>19647.59083112428</v>
      </c>
      <c r="BQ35" s="24">
        <f>IF(AG35=0,"ND",AG35/0.06413)</f>
        <v>29159.519725557457</v>
      </c>
      <c r="BR35" s="24">
        <f>IF(AH35=0,"ND",AH35/0.06413)</f>
        <v>11694.994542335879</v>
      </c>
      <c r="BS35" s="24">
        <f>IF(AI35=0,"ND",AI35/0.06413)</f>
        <v>46000.31186652112</v>
      </c>
      <c r="BT35" s="16"/>
      <c r="BU35" s="35">
        <f t="shared" si="37"/>
        <v>1520.6106074578945</v>
      </c>
      <c r="BV35" s="10"/>
    </row>
    <row r="36" spans="1:74" ht="15.75" thickTop="1">
      <c r="A36" s="4" t="s">
        <v>33</v>
      </c>
      <c r="B36" s="8" t="e">
        <f aca="true" t="shared" si="39" ref="B36:AI36">SUM(B7:B34)*100/(1000*B35)</f>
        <v>#DIV/0!</v>
      </c>
      <c r="C36" s="12" t="e">
        <f t="shared" si="39"/>
        <v>#DIV/0!</v>
      </c>
      <c r="D36" s="12">
        <f t="shared" si="39"/>
        <v>5.225</v>
      </c>
      <c r="E36" s="12">
        <f t="shared" si="39"/>
        <v>3.062771028037383</v>
      </c>
      <c r="F36" s="12" t="e">
        <f t="shared" si="39"/>
        <v>#DIV/0!</v>
      </c>
      <c r="G36" s="12">
        <f t="shared" si="39"/>
        <v>2.471110465116279</v>
      </c>
      <c r="H36" s="12" t="e">
        <f t="shared" si="39"/>
        <v>#DIV/0!</v>
      </c>
      <c r="I36" s="12">
        <f t="shared" si="39"/>
        <v>3.4222549019607853</v>
      </c>
      <c r="J36" s="12">
        <f t="shared" si="39"/>
        <v>3.6194</v>
      </c>
      <c r="K36" s="12" t="e">
        <f t="shared" si="39"/>
        <v>#DIV/0!</v>
      </c>
      <c r="L36" s="12">
        <f t="shared" si="39"/>
        <v>3.7503066666666673</v>
      </c>
      <c r="M36" s="12">
        <f t="shared" si="39"/>
        <v>4.6861296296296295</v>
      </c>
      <c r="N36" s="12">
        <f t="shared" si="39"/>
        <v>2.1541508379888263</v>
      </c>
      <c r="O36" s="12" t="e">
        <f t="shared" si="39"/>
        <v>#DIV/0!</v>
      </c>
      <c r="P36" s="12" t="e">
        <f t="shared" si="39"/>
        <v>#DIV/0!</v>
      </c>
      <c r="Q36" s="12" t="e">
        <f t="shared" si="39"/>
        <v>#DIV/0!</v>
      </c>
      <c r="R36" s="12" t="e">
        <f t="shared" si="39"/>
        <v>#DIV/0!</v>
      </c>
      <c r="S36" s="12">
        <f t="shared" si="39"/>
        <v>3.2314868055555555</v>
      </c>
      <c r="T36" s="12">
        <f t="shared" si="39"/>
        <v>3.603411214953271</v>
      </c>
      <c r="U36" s="12">
        <f t="shared" si="39"/>
        <v>3.459156250000001</v>
      </c>
      <c r="V36" s="12" t="e">
        <f t="shared" si="39"/>
        <v>#DIV/0!</v>
      </c>
      <c r="W36" s="12">
        <f t="shared" si="39"/>
        <v>2.68822</v>
      </c>
      <c r="X36" s="12">
        <f t="shared" si="39"/>
        <v>3.348526315789474</v>
      </c>
      <c r="Y36" s="12">
        <f t="shared" si="39"/>
        <v>4.202587719298246</v>
      </c>
      <c r="Z36" s="12">
        <f t="shared" si="39"/>
        <v>2.0016767676767677</v>
      </c>
      <c r="AA36" s="12">
        <f t="shared" si="39"/>
        <v>1.497527315914489</v>
      </c>
      <c r="AB36" s="12">
        <f t="shared" si="39"/>
        <v>0.12687306610407878</v>
      </c>
      <c r="AC36" s="12">
        <f t="shared" si="39"/>
        <v>2.0291688741721856</v>
      </c>
      <c r="AD36" s="12" t="e">
        <f t="shared" si="39"/>
        <v>#DIV/0!</v>
      </c>
      <c r="AE36" s="12">
        <f t="shared" si="39"/>
        <v>2.543406896551724</v>
      </c>
      <c r="AF36" s="12">
        <f t="shared" si="39"/>
        <v>3.3761111111111113</v>
      </c>
      <c r="AG36" s="12">
        <f t="shared" si="39"/>
        <v>3.95868449197861</v>
      </c>
      <c r="AH36" s="12">
        <f t="shared" si="39"/>
        <v>3.559666666666667</v>
      </c>
      <c r="AI36" s="12">
        <f t="shared" si="39"/>
        <v>3.7893186440677966</v>
      </c>
      <c r="AJ36" s="16"/>
      <c r="AK36" s="19" t="s">
        <v>38</v>
      </c>
      <c r="AL36" s="19" t="s">
        <v>38</v>
      </c>
      <c r="AM36" s="28" t="s">
        <v>38</v>
      </c>
      <c r="AN36" s="28" t="s">
        <v>38</v>
      </c>
      <c r="AO36" s="28" t="s">
        <v>38</v>
      </c>
      <c r="AP36" s="28" t="s">
        <v>38</v>
      </c>
      <c r="AQ36" s="28" t="s">
        <v>38</v>
      </c>
      <c r="AR36" s="28" t="s">
        <v>38</v>
      </c>
      <c r="AS36" s="28" t="s">
        <v>38</v>
      </c>
      <c r="AT36" s="28" t="s">
        <v>38</v>
      </c>
      <c r="AU36" s="28" t="s">
        <v>38</v>
      </c>
      <c r="AV36" s="28" t="s">
        <v>38</v>
      </c>
      <c r="AW36" s="28" t="s">
        <v>38</v>
      </c>
      <c r="AX36" s="28" t="s">
        <v>38</v>
      </c>
      <c r="AY36" s="28" t="s">
        <v>38</v>
      </c>
      <c r="AZ36" s="28" t="s">
        <v>38</v>
      </c>
      <c r="BA36" s="28" t="s">
        <v>38</v>
      </c>
      <c r="BB36" s="28" t="s">
        <v>38</v>
      </c>
      <c r="BC36" s="28" t="s">
        <v>38</v>
      </c>
      <c r="BD36" s="28" t="s">
        <v>38</v>
      </c>
      <c r="BE36" s="28" t="s">
        <v>38</v>
      </c>
      <c r="BF36" s="28" t="s">
        <v>38</v>
      </c>
      <c r="BG36" s="28" t="s">
        <v>38</v>
      </c>
      <c r="BH36" s="28" t="s">
        <v>38</v>
      </c>
      <c r="BI36" s="28" t="s">
        <v>38</v>
      </c>
      <c r="BJ36" s="28" t="s">
        <v>38</v>
      </c>
      <c r="BK36" s="28" t="s">
        <v>38</v>
      </c>
      <c r="BL36" s="28" t="s">
        <v>38</v>
      </c>
      <c r="BM36" s="28" t="s">
        <v>38</v>
      </c>
      <c r="BN36" s="25"/>
      <c r="BO36" s="28" t="s">
        <v>38</v>
      </c>
      <c r="BP36" s="28" t="s">
        <v>38</v>
      </c>
      <c r="BQ36" s="28" t="s">
        <v>38</v>
      </c>
      <c r="BR36" s="28" t="s">
        <v>38</v>
      </c>
      <c r="BS36" s="28" t="s">
        <v>38</v>
      </c>
      <c r="BT36" s="16"/>
      <c r="BU36" s="36">
        <f t="shared" si="37"/>
        <v>0</v>
      </c>
      <c r="BV36" s="10"/>
    </row>
    <row r="37" spans="1:74" ht="15">
      <c r="A37" s="5" t="s">
        <v>34</v>
      </c>
      <c r="B37" s="9">
        <f aca="true" t="shared" si="40" ref="B37:AI37">B35-(B8*2.542/1000)</f>
        <v>0</v>
      </c>
      <c r="C37" s="14">
        <f t="shared" si="40"/>
        <v>-47.807393999999995</v>
      </c>
      <c r="D37" s="14">
        <f t="shared" si="40"/>
        <v>273.55603</v>
      </c>
      <c r="E37" s="14">
        <f t="shared" si="40"/>
        <v>2109.39432</v>
      </c>
      <c r="F37" s="14">
        <f t="shared" si="40"/>
        <v>-94.010786</v>
      </c>
      <c r="G37" s="14">
        <f t="shared" si="40"/>
        <v>1688.448696</v>
      </c>
      <c r="H37" s="14">
        <f t="shared" si="40"/>
        <v>-11.011944</v>
      </c>
      <c r="I37" s="14">
        <f t="shared" si="40"/>
        <v>499.905718</v>
      </c>
      <c r="J37" s="14">
        <f t="shared" si="40"/>
        <v>686.410468</v>
      </c>
      <c r="K37" s="14">
        <f t="shared" si="40"/>
        <v>-18.335446</v>
      </c>
      <c r="L37" s="14">
        <f t="shared" si="40"/>
        <v>735.54873</v>
      </c>
      <c r="M37" s="14">
        <f t="shared" si="40"/>
        <v>524.580228</v>
      </c>
      <c r="N37" s="14">
        <f t="shared" si="40"/>
        <v>1772.165328</v>
      </c>
      <c r="O37" s="14">
        <f t="shared" si="40"/>
        <v>-9.977349999999998</v>
      </c>
      <c r="P37" s="14">
        <f t="shared" si="40"/>
        <v>0</v>
      </c>
      <c r="Q37" s="14">
        <f t="shared" si="40"/>
        <v>-41.813358</v>
      </c>
      <c r="R37" s="14">
        <f t="shared" si="40"/>
        <v>-21.551076</v>
      </c>
      <c r="S37" s="14">
        <f t="shared" si="40"/>
        <v>1402.121658</v>
      </c>
      <c r="T37" s="14">
        <f t="shared" si="40"/>
        <v>1042.780264</v>
      </c>
      <c r="U37" s="14">
        <f t="shared" si="40"/>
        <v>935.24092</v>
      </c>
      <c r="V37" s="14">
        <f t="shared" si="40"/>
        <v>-55.428309999999996</v>
      </c>
      <c r="W37" s="14">
        <f t="shared" si="40"/>
        <v>1476.318728</v>
      </c>
      <c r="X37" s="14">
        <f t="shared" si="40"/>
        <v>1493.052258</v>
      </c>
      <c r="Y37" s="14">
        <f t="shared" si="40"/>
        <v>1105.233066</v>
      </c>
      <c r="Z37" s="14">
        <f t="shared" si="40"/>
        <v>5857.395168</v>
      </c>
      <c r="AA37" s="14">
        <f t="shared" si="40"/>
        <v>4210</v>
      </c>
      <c r="AB37" s="14">
        <f t="shared" si="40"/>
        <v>56834.025388</v>
      </c>
      <c r="AC37" s="14">
        <f t="shared" si="40"/>
        <v>5966.24387</v>
      </c>
      <c r="AD37" s="14">
        <f t="shared" si="40"/>
        <v>0</v>
      </c>
      <c r="AE37" s="14">
        <f t="shared" si="40"/>
        <v>1424.646092</v>
      </c>
      <c r="AF37" s="14">
        <f t="shared" si="40"/>
        <v>1237.920188</v>
      </c>
      <c r="AG37" s="14">
        <f t="shared" si="40"/>
        <v>1820.260686</v>
      </c>
      <c r="AH37" s="14">
        <f t="shared" si="40"/>
        <v>731.522202</v>
      </c>
      <c r="AI37" s="14">
        <f t="shared" si="40"/>
        <v>2882.215028</v>
      </c>
      <c r="AJ37" s="16"/>
      <c r="AK37" s="20" t="s">
        <v>38</v>
      </c>
      <c r="AL37" s="23" t="str">
        <f aca="true" t="shared" si="41" ref="AL37:BM37">IF(B37=0,"ND",B37/0.06413)</f>
        <v>ND</v>
      </c>
      <c r="AM37" s="26">
        <f t="shared" si="41"/>
        <v>-745.476282551068</v>
      </c>
      <c r="AN37" s="26">
        <f t="shared" si="41"/>
        <v>4265.648370497427</v>
      </c>
      <c r="AO37" s="26">
        <f t="shared" si="41"/>
        <v>32892.47341337907</v>
      </c>
      <c r="AP37" s="26">
        <f t="shared" si="41"/>
        <v>-1465.9408389209416</v>
      </c>
      <c r="AQ37" s="26">
        <f t="shared" si="41"/>
        <v>26328.531046312175</v>
      </c>
      <c r="AR37" s="26">
        <f t="shared" si="41"/>
        <v>-171.71283330734443</v>
      </c>
      <c r="AS37" s="26">
        <f t="shared" si="41"/>
        <v>7795.192858256665</v>
      </c>
      <c r="AT37" s="26">
        <f t="shared" si="41"/>
        <v>10703.422236082955</v>
      </c>
      <c r="AU37" s="26">
        <f t="shared" si="41"/>
        <v>-285.9105878683923</v>
      </c>
      <c r="AV37" s="26">
        <f t="shared" si="41"/>
        <v>11469.651177296117</v>
      </c>
      <c r="AW37" s="26">
        <f t="shared" si="41"/>
        <v>8179.950537969748</v>
      </c>
      <c r="AX37" s="26">
        <f t="shared" si="41"/>
        <v>27633.95178543583</v>
      </c>
      <c r="AY37" s="26">
        <f t="shared" si="41"/>
        <v>-155.58007172929982</v>
      </c>
      <c r="AZ37" s="26" t="str">
        <f t="shared" si="41"/>
        <v>ND</v>
      </c>
      <c r="BA37" s="26">
        <f t="shared" si="41"/>
        <v>-652.0093248089817</v>
      </c>
      <c r="BB37" s="26">
        <f t="shared" si="41"/>
        <v>-336.05295493528763</v>
      </c>
      <c r="BC37" s="26">
        <f t="shared" si="41"/>
        <v>21863.740184001246</v>
      </c>
      <c r="BD37" s="26">
        <f t="shared" si="41"/>
        <v>16260.412661780756</v>
      </c>
      <c r="BE37" s="26">
        <f t="shared" si="41"/>
        <v>14583.516606892248</v>
      </c>
      <c r="BF37" s="26">
        <f t="shared" si="41"/>
        <v>-864.3117105878682</v>
      </c>
      <c r="BG37" s="26">
        <f t="shared" si="41"/>
        <v>23020.71928894433</v>
      </c>
      <c r="BH37" s="26">
        <f t="shared" si="41"/>
        <v>23281.65067830968</v>
      </c>
      <c r="BI37" s="26">
        <f t="shared" si="41"/>
        <v>17234.259566505534</v>
      </c>
      <c r="BJ37" s="26">
        <f t="shared" si="41"/>
        <v>91336.27269608606</v>
      </c>
      <c r="BK37" s="26">
        <f t="shared" si="41"/>
        <v>65647.9026976454</v>
      </c>
      <c r="BL37" s="26">
        <f t="shared" si="41"/>
        <v>886231.4889755184</v>
      </c>
      <c r="BM37" s="26">
        <f t="shared" si="41"/>
        <v>93033.5859971932</v>
      </c>
      <c r="BN37" s="26"/>
      <c r="BO37" s="26">
        <f>IF(AE37=0,"ND",AE37/0.06413)</f>
        <v>22214.971027600182</v>
      </c>
      <c r="BP37" s="26">
        <f>IF(AF37=0,"ND",AF37/0.06413)</f>
        <v>19303.293123343206</v>
      </c>
      <c r="BQ37" s="26">
        <f>IF(AG37=0,"ND",AG37/0.06413)</f>
        <v>28383.91838453142</v>
      </c>
      <c r="BR37" s="26">
        <f>IF(AH37=0,"ND",AH37/0.06413)</f>
        <v>11406.8642133167</v>
      </c>
      <c r="BS37" s="26">
        <f>IF(AI37=0,"ND",AI37/0.06413)</f>
        <v>44943.31869639794</v>
      </c>
      <c r="BT37" s="16"/>
      <c r="BU37" s="34">
        <f t="shared" si="37"/>
        <v>1506.5798648243608</v>
      </c>
      <c r="BV37" s="10"/>
    </row>
    <row r="38" spans="1:74" ht="15.75" thickBot="1">
      <c r="A38" s="5" t="s">
        <v>35</v>
      </c>
      <c r="B38" s="9" t="e">
        <f aca="true" t="shared" si="42" ref="B38:AI38">B37*100/B35</f>
        <v>#DIV/0!</v>
      </c>
      <c r="C38" s="14" t="e">
        <f t="shared" si="42"/>
        <v>#DIV/0!</v>
      </c>
      <c r="D38" s="14">
        <f t="shared" si="42"/>
        <v>97.69858214285715</v>
      </c>
      <c r="E38" s="14">
        <f t="shared" si="42"/>
        <v>98.56982803738318</v>
      </c>
      <c r="F38" s="14" t="e">
        <f t="shared" si="42"/>
        <v>#DIV/0!</v>
      </c>
      <c r="G38" s="14">
        <f t="shared" si="42"/>
        <v>98.16562186046512</v>
      </c>
      <c r="H38" s="14" t="e">
        <f t="shared" si="42"/>
        <v>#DIV/0!</v>
      </c>
      <c r="I38" s="14">
        <f t="shared" si="42"/>
        <v>98.02072901960784</v>
      </c>
      <c r="J38" s="14">
        <f t="shared" si="42"/>
        <v>98.0586382857143</v>
      </c>
      <c r="K38" s="14" t="e">
        <f t="shared" si="42"/>
        <v>#DIV/0!</v>
      </c>
      <c r="L38" s="14">
        <f t="shared" si="42"/>
        <v>98.07316399999999</v>
      </c>
      <c r="M38" s="14">
        <f t="shared" si="42"/>
        <v>97.14448666666668</v>
      </c>
      <c r="N38" s="14">
        <f t="shared" si="42"/>
        <v>99.00364960893856</v>
      </c>
      <c r="O38" s="14" t="e">
        <f t="shared" si="42"/>
        <v>#DIV/0!</v>
      </c>
      <c r="P38" s="14" t="e">
        <f t="shared" si="42"/>
        <v>#DIV/0!</v>
      </c>
      <c r="Q38" s="14" t="e">
        <f t="shared" si="42"/>
        <v>#DIV/0!</v>
      </c>
      <c r="R38" s="14" t="e">
        <f t="shared" si="42"/>
        <v>#DIV/0!</v>
      </c>
      <c r="S38" s="14">
        <f t="shared" si="42"/>
        <v>97.36955958333334</v>
      </c>
      <c r="T38" s="14">
        <f t="shared" si="42"/>
        <v>97.45609943925234</v>
      </c>
      <c r="U38" s="14">
        <f t="shared" si="42"/>
        <v>97.42092916666665</v>
      </c>
      <c r="V38" s="14" t="e">
        <f t="shared" si="42"/>
        <v>#DIV/0!</v>
      </c>
      <c r="W38" s="14">
        <f t="shared" si="42"/>
        <v>98.42124853333333</v>
      </c>
      <c r="X38" s="14">
        <f t="shared" si="42"/>
        <v>98.22712223684209</v>
      </c>
      <c r="Y38" s="14">
        <f t="shared" si="42"/>
        <v>96.95026894736841</v>
      </c>
      <c r="Z38" s="14">
        <f t="shared" si="42"/>
        <v>98.60934626262626</v>
      </c>
      <c r="AA38" s="14">
        <f t="shared" si="42"/>
        <v>100</v>
      </c>
      <c r="AB38" s="14">
        <f t="shared" si="42"/>
        <v>99.9191726230661</v>
      </c>
      <c r="AC38" s="14">
        <f t="shared" si="42"/>
        <v>98.77887201986755</v>
      </c>
      <c r="AD38" s="14" t="e">
        <f t="shared" si="42"/>
        <v>#DIV/0!</v>
      </c>
      <c r="AE38" s="14">
        <f t="shared" si="42"/>
        <v>98.25145462068966</v>
      </c>
      <c r="AF38" s="14">
        <f t="shared" si="42"/>
        <v>98.24763396825398</v>
      </c>
      <c r="AG38" s="14">
        <f t="shared" si="42"/>
        <v>97.34014363636363</v>
      </c>
      <c r="AH38" s="14">
        <f t="shared" si="42"/>
        <v>97.5362936</v>
      </c>
      <c r="AI38" s="14">
        <f t="shared" si="42"/>
        <v>97.70220433898305</v>
      </c>
      <c r="AJ38" s="16"/>
      <c r="AK38" s="20" t="s">
        <v>38</v>
      </c>
      <c r="AL38" s="20" t="s">
        <v>38</v>
      </c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16"/>
      <c r="BU38" s="37"/>
      <c r="BV38" s="10"/>
    </row>
    <row r="39" spans="1:73" ht="10.5" customHeight="1" thickTop="1">
      <c r="A39" s="7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U39" s="38"/>
    </row>
    <row r="40" spans="2:73" ht="15.75" thickBot="1">
      <c r="B40" s="1" t="s">
        <v>39</v>
      </c>
      <c r="L40" s="1" t="s">
        <v>57</v>
      </c>
      <c r="M40" s="2">
        <v>846</v>
      </c>
      <c r="O40" s="1" t="s">
        <v>62</v>
      </c>
      <c r="AL40" s="1" t="s">
        <v>98</v>
      </c>
      <c r="BU40" s="3"/>
    </row>
    <row r="41" spans="1:74" ht="15.75" thickTop="1">
      <c r="A41" s="4" t="s">
        <v>0</v>
      </c>
      <c r="B41" s="8">
        <v>802</v>
      </c>
      <c r="C41" s="12">
        <v>803</v>
      </c>
      <c r="D41" s="12">
        <v>808</v>
      </c>
      <c r="E41" s="12">
        <v>810</v>
      </c>
      <c r="F41" s="12">
        <v>812</v>
      </c>
      <c r="G41" s="12">
        <v>816</v>
      </c>
      <c r="H41" s="12">
        <v>820</v>
      </c>
      <c r="I41" s="12">
        <v>825</v>
      </c>
      <c r="J41" s="12">
        <v>829</v>
      </c>
      <c r="K41" s="12">
        <v>834</v>
      </c>
      <c r="L41" s="12">
        <v>837</v>
      </c>
      <c r="M41" s="12">
        <v>841</v>
      </c>
      <c r="N41" s="12">
        <v>845</v>
      </c>
      <c r="O41" s="12">
        <v>849</v>
      </c>
      <c r="P41" s="12">
        <v>853</v>
      </c>
      <c r="Q41" s="12">
        <v>857</v>
      </c>
      <c r="R41" s="12">
        <v>861</v>
      </c>
      <c r="S41" s="12">
        <v>865</v>
      </c>
      <c r="T41" s="12">
        <v>869</v>
      </c>
      <c r="U41" s="12">
        <v>873</v>
      </c>
      <c r="V41" s="12">
        <v>877</v>
      </c>
      <c r="W41" s="12">
        <v>881</v>
      </c>
      <c r="X41" s="12">
        <v>885</v>
      </c>
      <c r="Y41" s="12">
        <v>889</v>
      </c>
      <c r="Z41" s="12">
        <v>893</v>
      </c>
      <c r="AA41" s="12">
        <v>897</v>
      </c>
      <c r="AB41" s="12">
        <v>905</v>
      </c>
      <c r="AC41" s="12">
        <v>909</v>
      </c>
      <c r="AD41" s="17" t="s">
        <v>38</v>
      </c>
      <c r="AE41" s="17" t="s">
        <v>38</v>
      </c>
      <c r="AF41" s="15"/>
      <c r="AG41" s="15"/>
      <c r="AH41" s="15"/>
      <c r="AI41" s="15"/>
      <c r="AJ41" s="16"/>
      <c r="AK41" s="4" t="s">
        <v>38</v>
      </c>
      <c r="AL41" s="8">
        <f aca="true" t="shared" si="43" ref="AL41:AU44">B41</f>
        <v>802</v>
      </c>
      <c r="AM41" s="12">
        <f t="shared" si="43"/>
        <v>803</v>
      </c>
      <c r="AN41" s="12">
        <f t="shared" si="43"/>
        <v>808</v>
      </c>
      <c r="AO41" s="12">
        <f t="shared" si="43"/>
        <v>810</v>
      </c>
      <c r="AP41" s="12">
        <f t="shared" si="43"/>
        <v>812</v>
      </c>
      <c r="AQ41" s="12">
        <f t="shared" si="43"/>
        <v>816</v>
      </c>
      <c r="AR41" s="12">
        <f t="shared" si="43"/>
        <v>820</v>
      </c>
      <c r="AS41" s="12">
        <f t="shared" si="43"/>
        <v>825</v>
      </c>
      <c r="AT41" s="12">
        <f t="shared" si="43"/>
        <v>829</v>
      </c>
      <c r="AU41" s="12">
        <f t="shared" si="43"/>
        <v>834</v>
      </c>
      <c r="AV41" s="12">
        <f aca="true" t="shared" si="44" ref="AV41:BE44">L41</f>
        <v>837</v>
      </c>
      <c r="AW41" s="12">
        <f t="shared" si="44"/>
        <v>841</v>
      </c>
      <c r="AX41" s="12">
        <f t="shared" si="44"/>
        <v>845</v>
      </c>
      <c r="AY41" s="12">
        <f t="shared" si="44"/>
        <v>849</v>
      </c>
      <c r="AZ41" s="12">
        <f t="shared" si="44"/>
        <v>853</v>
      </c>
      <c r="BA41" s="12">
        <f t="shared" si="44"/>
        <v>857</v>
      </c>
      <c r="BB41" s="12">
        <f t="shared" si="44"/>
        <v>861</v>
      </c>
      <c r="BC41" s="12">
        <f t="shared" si="44"/>
        <v>865</v>
      </c>
      <c r="BD41" s="12">
        <f t="shared" si="44"/>
        <v>869</v>
      </c>
      <c r="BE41" s="12">
        <f t="shared" si="44"/>
        <v>873</v>
      </c>
      <c r="BF41" s="12">
        <f aca="true" t="shared" si="45" ref="BF41:BO44">V41</f>
        <v>877</v>
      </c>
      <c r="BG41" s="12">
        <f t="shared" si="45"/>
        <v>881</v>
      </c>
      <c r="BH41" s="12">
        <f t="shared" si="45"/>
        <v>885</v>
      </c>
      <c r="BI41" s="12">
        <f t="shared" si="45"/>
        <v>889</v>
      </c>
      <c r="BJ41" s="12">
        <f t="shared" si="45"/>
        <v>893</v>
      </c>
      <c r="BK41" s="12">
        <f t="shared" si="45"/>
        <v>897</v>
      </c>
      <c r="BL41" s="12">
        <f t="shared" si="45"/>
        <v>905</v>
      </c>
      <c r="BM41" s="12">
        <f t="shared" si="45"/>
        <v>909</v>
      </c>
      <c r="BN41" s="16"/>
      <c r="BU41" s="32" t="s">
        <v>99</v>
      </c>
      <c r="BV41" s="10"/>
    </row>
    <row r="42" spans="1:74" ht="15">
      <c r="A42" s="5" t="s">
        <v>1</v>
      </c>
      <c r="B42" s="5" t="s">
        <v>40</v>
      </c>
      <c r="C42" s="13" t="s">
        <v>40</v>
      </c>
      <c r="D42" s="13" t="s">
        <v>43</v>
      </c>
      <c r="E42" s="13" t="s">
        <v>44</v>
      </c>
      <c r="F42" s="13" t="s">
        <v>46</v>
      </c>
      <c r="G42" s="13" t="s">
        <v>47</v>
      </c>
      <c r="H42" s="13" t="s">
        <v>49</v>
      </c>
      <c r="I42" s="13" t="s">
        <v>51</v>
      </c>
      <c r="J42" s="13" t="s">
        <v>53</v>
      </c>
      <c r="K42" s="13" t="s">
        <v>55</v>
      </c>
      <c r="L42" s="13" t="s">
        <v>58</v>
      </c>
      <c r="M42" s="13" t="s">
        <v>59</v>
      </c>
      <c r="N42" s="13" t="s">
        <v>60</v>
      </c>
      <c r="O42" s="13" t="s">
        <v>63</v>
      </c>
      <c r="P42" s="13" t="s">
        <v>66</v>
      </c>
      <c r="Q42" s="13" t="s">
        <v>68</v>
      </c>
      <c r="R42" s="13" t="s">
        <v>70</v>
      </c>
      <c r="S42" s="13" t="s">
        <v>72</v>
      </c>
      <c r="T42" s="13" t="s">
        <v>74</v>
      </c>
      <c r="U42" s="13" t="s">
        <v>76</v>
      </c>
      <c r="V42" s="13" t="s">
        <v>78</v>
      </c>
      <c r="W42" s="13" t="s">
        <v>80</v>
      </c>
      <c r="X42" s="13" t="s">
        <v>82</v>
      </c>
      <c r="Y42" s="13" t="s">
        <v>84</v>
      </c>
      <c r="Z42" s="13" t="s">
        <v>86</v>
      </c>
      <c r="AA42" s="13" t="s">
        <v>88</v>
      </c>
      <c r="AB42" s="13" t="s">
        <v>90</v>
      </c>
      <c r="AC42" s="13" t="s">
        <v>91</v>
      </c>
      <c r="AD42" s="16"/>
      <c r="AE42" s="16"/>
      <c r="AF42" s="16"/>
      <c r="AG42" s="16"/>
      <c r="AH42" s="16"/>
      <c r="AI42" s="16"/>
      <c r="AJ42" s="16"/>
      <c r="AK42" s="5" t="s">
        <v>38</v>
      </c>
      <c r="AL42" s="9" t="str">
        <f t="shared" si="43"/>
        <v> 7/17/92</v>
      </c>
      <c r="AM42" s="14" t="str">
        <f t="shared" si="43"/>
        <v> 7/17/92</v>
      </c>
      <c r="AN42" s="14" t="str">
        <f t="shared" si="43"/>
        <v>8/12/92</v>
      </c>
      <c r="AO42" s="14" t="str">
        <f t="shared" si="43"/>
        <v> 9/1/92</v>
      </c>
      <c r="AP42" s="14" t="str">
        <f t="shared" si="43"/>
        <v>9/15/92</v>
      </c>
      <c r="AQ42" s="14" t="str">
        <f t="shared" si="43"/>
        <v>9/29/92</v>
      </c>
      <c r="AR42" s="14" t="str">
        <f t="shared" si="43"/>
        <v>10/13/92</v>
      </c>
      <c r="AS42" s="14" t="str">
        <f t="shared" si="43"/>
        <v>10/27/92</v>
      </c>
      <c r="AT42" s="14" t="str">
        <f t="shared" si="43"/>
        <v>11/10/92</v>
      </c>
      <c r="AU42" s="14" t="str">
        <f t="shared" si="43"/>
        <v>11/24/92</v>
      </c>
      <c r="AV42" s="14" t="str">
        <f t="shared" si="44"/>
        <v>12/8/92</v>
      </c>
      <c r="AW42" s="14" t="str">
        <f t="shared" si="44"/>
        <v>12/24/92</v>
      </c>
      <c r="AX42" s="14" t="str">
        <f t="shared" si="44"/>
        <v> 1/7/93</v>
      </c>
      <c r="AY42" s="14" t="str">
        <f t="shared" si="44"/>
        <v> 1/21/93</v>
      </c>
      <c r="AZ42" s="14" t="str">
        <f t="shared" si="44"/>
        <v> 2/4/93</v>
      </c>
      <c r="BA42" s="14" t="str">
        <f t="shared" si="44"/>
        <v> 2/20/93</v>
      </c>
      <c r="BB42" s="14" t="str">
        <f t="shared" si="44"/>
        <v> 3/3/93</v>
      </c>
      <c r="BC42" s="14" t="str">
        <f t="shared" si="44"/>
        <v> 3/20/93</v>
      </c>
      <c r="BD42" s="14" t="str">
        <f t="shared" si="44"/>
        <v> 4/8/93</v>
      </c>
      <c r="BE42" s="14" t="str">
        <f t="shared" si="44"/>
        <v> 4/29/93</v>
      </c>
      <c r="BF42" s="14" t="str">
        <f t="shared" si="45"/>
        <v> 5/25/93</v>
      </c>
      <c r="BG42" s="14" t="str">
        <f t="shared" si="45"/>
        <v> 6/9/93</v>
      </c>
      <c r="BH42" s="14" t="str">
        <f t="shared" si="45"/>
        <v> 7/1/93</v>
      </c>
      <c r="BI42" s="14" t="str">
        <f t="shared" si="45"/>
        <v> 7/15/93</v>
      </c>
      <c r="BJ42" s="14" t="str">
        <f t="shared" si="45"/>
        <v> 7/28/93</v>
      </c>
      <c r="BK42" s="14" t="str">
        <f t="shared" si="45"/>
        <v> 8/8/93</v>
      </c>
      <c r="BL42" s="14" t="str">
        <f t="shared" si="45"/>
        <v> 8/21/93</v>
      </c>
      <c r="BM42" s="14" t="str">
        <f t="shared" si="45"/>
        <v> 9/1/93</v>
      </c>
      <c r="BN42" s="16"/>
      <c r="BU42" s="33" t="s">
        <v>100</v>
      </c>
      <c r="BV42" s="10"/>
    </row>
    <row r="43" spans="1:74" ht="15">
      <c r="A43" s="5" t="s">
        <v>2</v>
      </c>
      <c r="B43" s="9">
        <v>622.25</v>
      </c>
      <c r="C43" s="14">
        <v>622.25</v>
      </c>
      <c r="D43" s="14">
        <v>480</v>
      </c>
      <c r="E43" s="14">
        <v>336</v>
      </c>
      <c r="F43" s="14">
        <v>336</v>
      </c>
      <c r="G43" s="14">
        <v>334.5</v>
      </c>
      <c r="H43" s="14">
        <v>336</v>
      </c>
      <c r="I43" s="14">
        <v>336</v>
      </c>
      <c r="J43" s="14">
        <v>336</v>
      </c>
      <c r="K43" s="14">
        <v>331</v>
      </c>
      <c r="L43" s="14">
        <v>384</v>
      </c>
      <c r="M43" s="14">
        <v>336</v>
      </c>
      <c r="N43" s="14">
        <v>336</v>
      </c>
      <c r="O43" s="14">
        <v>336</v>
      </c>
      <c r="P43" s="14">
        <v>384</v>
      </c>
      <c r="Q43" s="14">
        <v>264</v>
      </c>
      <c r="R43" s="14">
        <v>408</v>
      </c>
      <c r="S43" s="14">
        <v>456</v>
      </c>
      <c r="T43" s="14">
        <v>505</v>
      </c>
      <c r="U43" s="14">
        <v>622.75</v>
      </c>
      <c r="V43" s="14">
        <v>359</v>
      </c>
      <c r="W43" s="14">
        <v>528.5</v>
      </c>
      <c r="X43" s="14">
        <v>336</v>
      </c>
      <c r="Y43" s="14">
        <v>312</v>
      </c>
      <c r="Z43" s="14">
        <v>265</v>
      </c>
      <c r="AA43" s="14">
        <v>310.75</v>
      </c>
      <c r="AB43" s="14">
        <v>264</v>
      </c>
      <c r="AC43" s="14">
        <v>384</v>
      </c>
      <c r="AD43" s="16"/>
      <c r="AE43" s="16"/>
      <c r="AF43" s="16"/>
      <c r="AG43" s="16"/>
      <c r="AH43" s="16"/>
      <c r="AI43" s="16"/>
      <c r="AJ43" s="16"/>
      <c r="AK43" s="5" t="s">
        <v>38</v>
      </c>
      <c r="AL43" s="9">
        <f t="shared" si="43"/>
        <v>622.25</v>
      </c>
      <c r="AM43" s="14">
        <f t="shared" si="43"/>
        <v>622.25</v>
      </c>
      <c r="AN43" s="14">
        <f t="shared" si="43"/>
        <v>480</v>
      </c>
      <c r="AO43" s="14">
        <f t="shared" si="43"/>
        <v>336</v>
      </c>
      <c r="AP43" s="14">
        <f t="shared" si="43"/>
        <v>336</v>
      </c>
      <c r="AQ43" s="14">
        <f t="shared" si="43"/>
        <v>334.5</v>
      </c>
      <c r="AR43" s="14">
        <f t="shared" si="43"/>
        <v>336</v>
      </c>
      <c r="AS43" s="14">
        <f t="shared" si="43"/>
        <v>336</v>
      </c>
      <c r="AT43" s="14">
        <f t="shared" si="43"/>
        <v>336</v>
      </c>
      <c r="AU43" s="14">
        <f t="shared" si="43"/>
        <v>331</v>
      </c>
      <c r="AV43" s="14">
        <f t="shared" si="44"/>
        <v>384</v>
      </c>
      <c r="AW43" s="14">
        <f t="shared" si="44"/>
        <v>336</v>
      </c>
      <c r="AX43" s="14">
        <f t="shared" si="44"/>
        <v>336</v>
      </c>
      <c r="AY43" s="14">
        <f t="shared" si="44"/>
        <v>336</v>
      </c>
      <c r="AZ43" s="14">
        <f t="shared" si="44"/>
        <v>384</v>
      </c>
      <c r="BA43" s="14">
        <f t="shared" si="44"/>
        <v>264</v>
      </c>
      <c r="BB43" s="14">
        <f t="shared" si="44"/>
        <v>408</v>
      </c>
      <c r="BC43" s="14">
        <f t="shared" si="44"/>
        <v>456</v>
      </c>
      <c r="BD43" s="14">
        <f t="shared" si="44"/>
        <v>505</v>
      </c>
      <c r="BE43" s="14">
        <f t="shared" si="44"/>
        <v>622.75</v>
      </c>
      <c r="BF43" s="14">
        <f t="shared" si="45"/>
        <v>359</v>
      </c>
      <c r="BG43" s="14">
        <f t="shared" si="45"/>
        <v>528.5</v>
      </c>
      <c r="BH43" s="14">
        <f t="shared" si="45"/>
        <v>336</v>
      </c>
      <c r="BI43" s="14">
        <f t="shared" si="45"/>
        <v>312</v>
      </c>
      <c r="BJ43" s="14">
        <f t="shared" si="45"/>
        <v>265</v>
      </c>
      <c r="BK43" s="14">
        <f t="shared" si="45"/>
        <v>310.75</v>
      </c>
      <c r="BL43" s="14">
        <f t="shared" si="45"/>
        <v>264</v>
      </c>
      <c r="BM43" s="14">
        <f t="shared" si="45"/>
        <v>384</v>
      </c>
      <c r="BN43" s="16"/>
      <c r="BU43" s="33" t="s">
        <v>101</v>
      </c>
      <c r="BV43" s="10"/>
    </row>
    <row r="44" spans="1:74" ht="15">
      <c r="A44" s="5" t="s">
        <v>3</v>
      </c>
      <c r="B44" s="9">
        <v>4.2</v>
      </c>
      <c r="C44" s="14">
        <v>4.2</v>
      </c>
      <c r="D44" s="14">
        <v>3.65</v>
      </c>
      <c r="E44" s="14">
        <v>1.36</v>
      </c>
      <c r="F44" s="14">
        <v>2.19</v>
      </c>
      <c r="G44" s="14">
        <v>1.47</v>
      </c>
      <c r="H44" s="14">
        <v>0.84</v>
      </c>
      <c r="I44" s="14">
        <v>1.04</v>
      </c>
      <c r="J44" s="14">
        <v>2.89</v>
      </c>
      <c r="K44" s="14">
        <v>1.55</v>
      </c>
      <c r="L44" s="14">
        <v>2.45</v>
      </c>
      <c r="M44" s="14">
        <v>2.1</v>
      </c>
      <c r="N44" s="14">
        <v>1.24</v>
      </c>
      <c r="O44" s="14">
        <v>0.96</v>
      </c>
      <c r="P44" s="14">
        <v>2.68</v>
      </c>
      <c r="Q44" s="14">
        <v>0.64</v>
      </c>
      <c r="R44" s="14">
        <v>3.68</v>
      </c>
      <c r="S44" s="14">
        <v>4.7</v>
      </c>
      <c r="T44" s="14">
        <v>3.8</v>
      </c>
      <c r="U44" s="14">
        <v>2.03</v>
      </c>
      <c r="V44" s="14">
        <v>1.22</v>
      </c>
      <c r="W44" s="14">
        <v>0.47</v>
      </c>
      <c r="X44" s="14">
        <v>1.07</v>
      </c>
      <c r="Y44" s="14">
        <v>1.08</v>
      </c>
      <c r="Z44" s="14">
        <v>0.31</v>
      </c>
      <c r="AA44" s="14">
        <v>0.17</v>
      </c>
      <c r="AB44" s="14">
        <v>0.04</v>
      </c>
      <c r="AC44" s="14">
        <v>2.22</v>
      </c>
      <c r="AD44" s="16"/>
      <c r="AE44" s="16"/>
      <c r="AF44" s="16"/>
      <c r="AG44" s="16"/>
      <c r="AH44" s="16"/>
      <c r="AI44" s="16"/>
      <c r="AJ44" s="16"/>
      <c r="AK44" s="5" t="s">
        <v>96</v>
      </c>
      <c r="AL44" s="9">
        <f t="shared" si="43"/>
        <v>4.2</v>
      </c>
      <c r="AM44" s="14">
        <f t="shared" si="43"/>
        <v>4.2</v>
      </c>
      <c r="AN44" s="14">
        <f t="shared" si="43"/>
        <v>3.65</v>
      </c>
      <c r="AO44" s="14">
        <f t="shared" si="43"/>
        <v>1.36</v>
      </c>
      <c r="AP44" s="14">
        <f t="shared" si="43"/>
        <v>2.19</v>
      </c>
      <c r="AQ44" s="14">
        <f t="shared" si="43"/>
        <v>1.47</v>
      </c>
      <c r="AR44" s="14">
        <f t="shared" si="43"/>
        <v>0.84</v>
      </c>
      <c r="AS44" s="14">
        <f t="shared" si="43"/>
        <v>1.04</v>
      </c>
      <c r="AT44" s="14">
        <f t="shared" si="43"/>
        <v>2.89</v>
      </c>
      <c r="AU44" s="14">
        <f t="shared" si="43"/>
        <v>1.55</v>
      </c>
      <c r="AV44" s="14">
        <f t="shared" si="44"/>
        <v>2.45</v>
      </c>
      <c r="AW44" s="14">
        <f t="shared" si="44"/>
        <v>2.1</v>
      </c>
      <c r="AX44" s="14">
        <f t="shared" si="44"/>
        <v>1.24</v>
      </c>
      <c r="AY44" s="14">
        <f t="shared" si="44"/>
        <v>0.96</v>
      </c>
      <c r="AZ44" s="14">
        <f t="shared" si="44"/>
        <v>2.68</v>
      </c>
      <c r="BA44" s="14">
        <f t="shared" si="44"/>
        <v>0.64</v>
      </c>
      <c r="BB44" s="14">
        <f t="shared" si="44"/>
        <v>3.68</v>
      </c>
      <c r="BC44" s="14">
        <f t="shared" si="44"/>
        <v>4.7</v>
      </c>
      <c r="BD44" s="14">
        <f t="shared" si="44"/>
        <v>3.8</v>
      </c>
      <c r="BE44" s="14">
        <f t="shared" si="44"/>
        <v>2.03</v>
      </c>
      <c r="BF44" s="14">
        <f t="shared" si="45"/>
        <v>1.22</v>
      </c>
      <c r="BG44" s="14">
        <f t="shared" si="45"/>
        <v>0.47</v>
      </c>
      <c r="BH44" s="14">
        <f t="shared" si="45"/>
        <v>1.07</v>
      </c>
      <c r="BI44" s="14">
        <f t="shared" si="45"/>
        <v>1.08</v>
      </c>
      <c r="BJ44" s="14">
        <f t="shared" si="45"/>
        <v>0.31</v>
      </c>
      <c r="BK44" s="14">
        <f t="shared" si="45"/>
        <v>0.17</v>
      </c>
      <c r="BL44" s="14">
        <f t="shared" si="45"/>
        <v>0.04</v>
      </c>
      <c r="BM44" s="14">
        <f t="shared" si="45"/>
        <v>2.22</v>
      </c>
      <c r="BN44" s="16"/>
      <c r="BU44" s="33" t="s">
        <v>103</v>
      </c>
      <c r="BV44" s="9">
        <f>SUM(AM44:BI44)</f>
        <v>47.31</v>
      </c>
    </row>
    <row r="45" spans="1:74" ht="15">
      <c r="A45" s="6"/>
      <c r="B45" s="6"/>
      <c r="C45" s="17" t="s">
        <v>41</v>
      </c>
      <c r="D45" s="15"/>
      <c r="E45" s="17" t="s">
        <v>41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6"/>
      <c r="AK45" s="6"/>
      <c r="AL45" s="6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6"/>
      <c r="BU45" s="39"/>
      <c r="BV45" s="10"/>
    </row>
    <row r="46" spans="1:74" ht="15">
      <c r="A46" s="5" t="s">
        <v>4</v>
      </c>
      <c r="B46" s="9">
        <f>118177+3894+10103+21155</f>
        <v>153329</v>
      </c>
      <c r="C46" s="16"/>
      <c r="D46" s="14">
        <v>162445</v>
      </c>
      <c r="E46" s="16"/>
      <c r="F46" s="14">
        <v>24783</v>
      </c>
      <c r="G46" s="14">
        <v>10859</v>
      </c>
      <c r="H46" s="14">
        <v>20159</v>
      </c>
      <c r="I46" s="14">
        <v>12564</v>
      </c>
      <c r="J46" s="14">
        <f>8331+15973+135029</f>
        <v>159333</v>
      </c>
      <c r="K46" s="14">
        <v>26465</v>
      </c>
      <c r="L46" s="14">
        <f>1705944+76463+13633</f>
        <v>1796040</v>
      </c>
      <c r="M46" s="14">
        <v>29990</v>
      </c>
      <c r="N46" s="14">
        <v>49253</v>
      </c>
      <c r="O46" s="14">
        <f>49532+38020+174090</f>
        <v>261642</v>
      </c>
      <c r="P46" s="14">
        <v>125235</v>
      </c>
      <c r="Q46" s="14">
        <v>27495</v>
      </c>
      <c r="R46" s="14">
        <f>5284+8580+1761403</f>
        <v>1775267</v>
      </c>
      <c r="S46" s="14">
        <f>13311+25730+2262+3888</f>
        <v>45191</v>
      </c>
      <c r="T46" s="14">
        <f>56955+4153</f>
        <v>61108</v>
      </c>
      <c r="U46" s="14">
        <f>73747+14690</f>
        <v>88437</v>
      </c>
      <c r="V46" s="14">
        <f>7049+78412</f>
        <v>85461</v>
      </c>
      <c r="W46" s="14">
        <v>18921</v>
      </c>
      <c r="X46" s="14">
        <v>18604</v>
      </c>
      <c r="Y46" s="14">
        <v>43790</v>
      </c>
      <c r="Z46" s="14">
        <v>9006</v>
      </c>
      <c r="AA46" s="14">
        <v>15150</v>
      </c>
      <c r="AB46" s="14">
        <v>6434</v>
      </c>
      <c r="AC46" s="14">
        <v>65950</v>
      </c>
      <c r="AD46" s="16"/>
      <c r="AE46" s="16"/>
      <c r="AF46" s="16"/>
      <c r="AG46" s="16"/>
      <c r="AH46" s="16"/>
      <c r="AI46" s="16"/>
      <c r="AJ46" s="16"/>
      <c r="AK46" s="9">
        <v>0</v>
      </c>
      <c r="AL46" s="21">
        <f aca="true" t="shared" si="46" ref="AL46:AL73">IF(B46-$AK46&lt;0.0001,"ND",(B46-$AK46)/0.06413)</f>
        <v>2390909.090909091</v>
      </c>
      <c r="AM46" s="27" t="str">
        <f aca="true" t="shared" si="47" ref="AM46:AM73">IF(C46-$AK46&lt;0.0001,"ND",(C46-$AK46)/0.06413)</f>
        <v>ND</v>
      </c>
      <c r="AN46" s="27">
        <f aca="true" t="shared" si="48" ref="AN46:AN73">IF(D46-$AK46&lt;0.0001,"ND",(D46-$AK46)/0.06413)</f>
        <v>2533057.851239669</v>
      </c>
      <c r="AO46" s="27" t="str">
        <f aca="true" t="shared" si="49" ref="AO46:AO73">IF(E46-$AK46&lt;0.0001,"ND",(E46-$AK46)/0.06413)</f>
        <v>ND</v>
      </c>
      <c r="AP46" s="27">
        <f aca="true" t="shared" si="50" ref="AP46:AP73">IF(F46-$AK46&lt;0.0001,"ND",(F46-$AK46)/0.06413)</f>
        <v>386449.39965694677</v>
      </c>
      <c r="AQ46" s="27">
        <f aca="true" t="shared" si="51" ref="AQ46:AQ73">IF(G46-$AK46&lt;0.0001,"ND",(G46-$AK46)/0.06413)</f>
        <v>169327.9276469671</v>
      </c>
      <c r="AR46" s="27">
        <f aca="true" t="shared" si="52" ref="AR46:AR73">IF(H46-$AK46&lt;0.0001,"ND",(H46-$AK46)/0.06413)</f>
        <v>314345.85997193196</v>
      </c>
      <c r="AS46" s="27">
        <f aca="true" t="shared" si="53" ref="AS46:AS73">IF(I46-$AK46&lt;0.0001,"ND",(I46-$AK46)/0.06413)</f>
        <v>195914.54857321063</v>
      </c>
      <c r="AT46" s="27">
        <f aca="true" t="shared" si="54" ref="AT46:AT73">IF(J46-$AK46&lt;0.0001,"ND",(J46-$AK46)/0.06413)</f>
        <v>2484531.4205520037</v>
      </c>
      <c r="AU46" s="27">
        <f aca="true" t="shared" si="55" ref="AU46:AU73">IF(K46-$AK46&lt;0.0001,"ND",(K46-$AK46)/0.06413)</f>
        <v>412677.37408389203</v>
      </c>
      <c r="AV46" s="27">
        <f aca="true" t="shared" si="56" ref="AV46:AV73">IF(L46-$AK46&lt;0.0001,"ND",(L46-$AK46)/0.06413)</f>
        <v>28006237.330422577</v>
      </c>
      <c r="AW46" s="27">
        <f aca="true" t="shared" si="57" ref="AW46:AW73">IF(M46-$AK46&lt;0.0001,"ND",(M46-$AK46)/0.06413)</f>
        <v>467643.8484328707</v>
      </c>
      <c r="AX46" s="27">
        <f aca="true" t="shared" si="58" ref="AX46:AX73">IF(N46-$AK46&lt;0.0001,"ND",(N46-$AK46)/0.06413)</f>
        <v>768018.0882582254</v>
      </c>
      <c r="AY46" s="27">
        <f aca="true" t="shared" si="59" ref="AY46:AY73">IF(O46-$AK46&lt;0.0001,"ND",(O46-$AK46)/0.06413)</f>
        <v>4079869.0160611253</v>
      </c>
      <c r="AZ46" s="27">
        <f aca="true" t="shared" si="60" ref="AZ46:AZ73">IF(P46-$AK46&lt;0.0001,"ND",(P46-$AK46)/0.06413)</f>
        <v>1952830.188679245</v>
      </c>
      <c r="BA46" s="27">
        <f aca="true" t="shared" si="61" ref="BA46:BA73">IF(Q46-$AK46&lt;0.0001,"ND",(Q46-$AK46)/0.06413)</f>
        <v>428738.49992203334</v>
      </c>
      <c r="BB46" s="27">
        <f aca="true" t="shared" si="62" ref="BB46:BB73">IF(R46-$AK46&lt;0.0001,"ND",(R46-$AK46)/0.06413)</f>
        <v>27682317.168251984</v>
      </c>
      <c r="BC46" s="27">
        <f aca="true" t="shared" si="63" ref="BC46:BC73">IF(S46-$AK46&lt;0.0001,"ND",(S46-$AK46)/0.06413)</f>
        <v>704677.9978169343</v>
      </c>
      <c r="BD46" s="27">
        <f aca="true" t="shared" si="64" ref="BD46:BD73">IF(T46-$AK46&lt;0.0001,"ND",(T46-$AK46)/0.06413)</f>
        <v>952876.9686574145</v>
      </c>
      <c r="BE46" s="27">
        <f aca="true" t="shared" si="65" ref="BE46:BE73">IF(U46-$AK46&lt;0.0001,"ND",(U46-$AK46)/0.06413)</f>
        <v>1379026.9764540775</v>
      </c>
      <c r="BF46" s="27">
        <f aca="true" t="shared" si="66" ref="BF46:BF73">IF(V46-$AK46&lt;0.0001,"ND",(V46-$AK46)/0.06413)</f>
        <v>1332621.2381100887</v>
      </c>
      <c r="BG46" s="27">
        <f aca="true" t="shared" si="67" ref="BG46:BG73">IF(W46-$AK46&lt;0.0001,"ND",(W46-$AK46)/0.06413)</f>
        <v>295041.3223140496</v>
      </c>
      <c r="BH46" s="27">
        <f aca="true" t="shared" si="68" ref="BH46:BH73">IF(X46-$AK46&lt;0.0001,"ND",(X46-$AK46)/0.06413)</f>
        <v>290098.2379541556</v>
      </c>
      <c r="BI46" s="27">
        <f aca="true" t="shared" si="69" ref="BI46:BI73">IF(Y46-$AK46&lt;0.0001,"ND",(Y46-$AK46)/0.06413)</f>
        <v>682831.7480118509</v>
      </c>
      <c r="BJ46" s="27">
        <f aca="true" t="shared" si="70" ref="BJ46:BJ73">IF(Z46-$AK46&lt;0.0001,"ND",(Z46-$AK46)/0.06413)</f>
        <v>140433.49446436923</v>
      </c>
      <c r="BK46" s="27">
        <f aca="true" t="shared" si="71" ref="BK46:BK73">IF(AA46-$AK46&lt;0.0001,"ND",(AA46-$AK46)/0.06413)</f>
        <v>236238.88975518476</v>
      </c>
      <c r="BL46" s="27">
        <f aca="true" t="shared" si="72" ref="BL46:BL73">IF(AB46-$AK46&lt;0.0001,"ND",(AB46-$AK46)/0.06413)</f>
        <v>100327.4598471854</v>
      </c>
      <c r="BM46" s="27">
        <f aca="true" t="shared" si="73" ref="BM46:BM73">IF(AC46-$AK46&lt;0.0001,"ND",(AC46-$AK46)/0.06413)</f>
        <v>1028379.853422735</v>
      </c>
      <c r="BN46" s="16"/>
      <c r="BU46" s="34">
        <f aca="true" t="shared" si="74" ref="BU46:BU76">(SUM(AL46:BM46)-AV46)*47.31/(51.8*1000)</f>
        <v>46953.060178197404</v>
      </c>
      <c r="BV46" s="10"/>
    </row>
    <row r="47" spans="1:74" ht="15">
      <c r="A47" s="5" t="s">
        <v>5</v>
      </c>
      <c r="B47" s="9">
        <f>22160+1612+0+7231</f>
        <v>31003</v>
      </c>
      <c r="C47" s="16"/>
      <c r="D47" s="14">
        <v>35748</v>
      </c>
      <c r="E47" s="16"/>
      <c r="F47" s="14">
        <v>10205</v>
      </c>
      <c r="G47" s="14">
        <v>3640</v>
      </c>
      <c r="H47" s="14">
        <v>6846</v>
      </c>
      <c r="I47" s="14">
        <v>2392</v>
      </c>
      <c r="J47" s="14">
        <f>3408+3836+21129</f>
        <v>28373</v>
      </c>
      <c r="K47" s="14">
        <v>6578</v>
      </c>
      <c r="L47" s="14">
        <f>766525+23826+0</f>
        <v>790351</v>
      </c>
      <c r="M47" s="14">
        <f>9522+2509+3785+3555</f>
        <v>19371</v>
      </c>
      <c r="N47" s="14">
        <v>12978</v>
      </c>
      <c r="O47" s="14">
        <f>15845+11685+66143</f>
        <v>93673</v>
      </c>
      <c r="P47" s="14">
        <v>36057</v>
      </c>
      <c r="Q47" s="14">
        <v>13710</v>
      </c>
      <c r="R47" s="14">
        <f>5057+6196+630850</f>
        <v>642103</v>
      </c>
      <c r="S47" s="14">
        <f>6907+10885</f>
        <v>17792</v>
      </c>
      <c r="T47" s="14">
        <f>13038+3156</f>
        <v>16194</v>
      </c>
      <c r="U47" s="14">
        <f>22650+8194</f>
        <v>30844</v>
      </c>
      <c r="V47" s="14">
        <f>3358+16218</f>
        <v>19576</v>
      </c>
      <c r="W47" s="14">
        <v>6175</v>
      </c>
      <c r="X47" s="14">
        <v>5938</v>
      </c>
      <c r="Y47" s="14">
        <v>10577</v>
      </c>
      <c r="Z47" s="14">
        <v>3828</v>
      </c>
      <c r="AA47" s="16"/>
      <c r="AB47" s="14">
        <v>4804</v>
      </c>
      <c r="AC47" s="14">
        <v>11358</v>
      </c>
      <c r="AD47" s="16"/>
      <c r="AE47" s="16"/>
      <c r="AF47" s="16"/>
      <c r="AG47" s="16"/>
      <c r="AH47" s="16"/>
      <c r="AI47" s="16"/>
      <c r="AJ47" s="16"/>
      <c r="AK47" s="9">
        <v>2039</v>
      </c>
      <c r="AL47" s="21">
        <f t="shared" si="46"/>
        <v>451645.0958989552</v>
      </c>
      <c r="AM47" s="27" t="str">
        <f t="shared" si="47"/>
        <v>ND</v>
      </c>
      <c r="AN47" s="27">
        <f t="shared" si="48"/>
        <v>525635.4280368002</v>
      </c>
      <c r="AO47" s="27" t="str">
        <f t="shared" si="49"/>
        <v>ND</v>
      </c>
      <c r="AP47" s="27">
        <f t="shared" si="50"/>
        <v>127335.10057695305</v>
      </c>
      <c r="AQ47" s="27">
        <f t="shared" si="51"/>
        <v>24964.91501637299</v>
      </c>
      <c r="AR47" s="27">
        <f t="shared" si="52"/>
        <v>74957.11835334476</v>
      </c>
      <c r="AS47" s="27">
        <f t="shared" si="53"/>
        <v>5504.444097926087</v>
      </c>
      <c r="AT47" s="27">
        <f t="shared" si="54"/>
        <v>410634.6483704974</v>
      </c>
      <c r="AU47" s="27">
        <f t="shared" si="55"/>
        <v>70778.10697021674</v>
      </c>
      <c r="AV47" s="27">
        <f t="shared" si="56"/>
        <v>12292406.05021051</v>
      </c>
      <c r="AW47" s="27">
        <f t="shared" si="57"/>
        <v>270263.52721035393</v>
      </c>
      <c r="AX47" s="27">
        <f t="shared" si="58"/>
        <v>170575.3937314829</v>
      </c>
      <c r="AY47" s="27">
        <f t="shared" si="59"/>
        <v>1428878.8398565412</v>
      </c>
      <c r="AZ47" s="27">
        <f t="shared" si="60"/>
        <v>530453.7657882426</v>
      </c>
      <c r="BA47" s="27">
        <f t="shared" si="61"/>
        <v>181989.70840480272</v>
      </c>
      <c r="BB47" s="27">
        <f t="shared" si="62"/>
        <v>9980726.64899423</v>
      </c>
      <c r="BC47" s="27">
        <f t="shared" si="63"/>
        <v>245641.6653672228</v>
      </c>
      <c r="BD47" s="27">
        <f t="shared" si="64"/>
        <v>220723.53032901915</v>
      </c>
      <c r="BE47" s="27">
        <f t="shared" si="65"/>
        <v>449165.75705598</v>
      </c>
      <c r="BF47" s="27">
        <f t="shared" si="66"/>
        <v>273460.15905192576</v>
      </c>
      <c r="BG47" s="27">
        <f t="shared" si="67"/>
        <v>64493.99656946826</v>
      </c>
      <c r="BH47" s="27">
        <f t="shared" si="68"/>
        <v>60798.37829409012</v>
      </c>
      <c r="BI47" s="27">
        <f t="shared" si="69"/>
        <v>133135.81786995166</v>
      </c>
      <c r="BJ47" s="27">
        <f t="shared" si="70"/>
        <v>27896.460314985183</v>
      </c>
      <c r="BK47" s="27" t="str">
        <f t="shared" si="71"/>
        <v>ND</v>
      </c>
      <c r="BL47" s="27">
        <f t="shared" si="72"/>
        <v>43115.54654607827</v>
      </c>
      <c r="BM47" s="27">
        <f t="shared" si="73"/>
        <v>145314.20552003742</v>
      </c>
      <c r="BN47" s="16"/>
      <c r="BT47" s="3"/>
      <c r="BU47" s="34">
        <f t="shared" si="74"/>
        <v>14538.31574317852</v>
      </c>
      <c r="BV47" s="10"/>
    </row>
    <row r="48" spans="1:74" ht="15">
      <c r="A48" s="5" t="s">
        <v>6</v>
      </c>
      <c r="B48" s="10"/>
      <c r="C48" s="16"/>
      <c r="D48" s="14">
        <v>62010</v>
      </c>
      <c r="E48" s="16"/>
      <c r="F48" s="14">
        <v>13435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4">
        <v>690250</v>
      </c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9">
        <v>0</v>
      </c>
      <c r="AL48" s="21" t="str">
        <f t="shared" si="46"/>
        <v>ND</v>
      </c>
      <c r="AM48" s="27" t="str">
        <f t="shared" si="47"/>
        <v>ND</v>
      </c>
      <c r="AN48" s="27">
        <f t="shared" si="48"/>
        <v>966942.1487603305</v>
      </c>
      <c r="AO48" s="27" t="str">
        <f t="shared" si="49"/>
        <v>ND</v>
      </c>
      <c r="AP48" s="27">
        <f t="shared" si="50"/>
        <v>209496.3355683767</v>
      </c>
      <c r="AQ48" s="27" t="str">
        <f t="shared" si="51"/>
        <v>ND</v>
      </c>
      <c r="AR48" s="27" t="str">
        <f t="shared" si="52"/>
        <v>ND</v>
      </c>
      <c r="AS48" s="27" t="str">
        <f t="shared" si="53"/>
        <v>ND</v>
      </c>
      <c r="AT48" s="27" t="str">
        <f t="shared" si="54"/>
        <v>ND</v>
      </c>
      <c r="AU48" s="27" t="str">
        <f t="shared" si="55"/>
        <v>ND</v>
      </c>
      <c r="AV48" s="27" t="str">
        <f t="shared" si="56"/>
        <v>ND</v>
      </c>
      <c r="AW48" s="27" t="str">
        <f t="shared" si="57"/>
        <v>ND</v>
      </c>
      <c r="AX48" s="27" t="str">
        <f t="shared" si="58"/>
        <v>ND</v>
      </c>
      <c r="AY48" s="27" t="str">
        <f t="shared" si="59"/>
        <v>ND</v>
      </c>
      <c r="AZ48" s="27" t="str">
        <f t="shared" si="60"/>
        <v>ND</v>
      </c>
      <c r="BA48" s="27" t="str">
        <f t="shared" si="61"/>
        <v>ND</v>
      </c>
      <c r="BB48" s="27">
        <f t="shared" si="62"/>
        <v>10763293.310463121</v>
      </c>
      <c r="BC48" s="27" t="str">
        <f t="shared" si="63"/>
        <v>ND</v>
      </c>
      <c r="BD48" s="27" t="str">
        <f t="shared" si="64"/>
        <v>ND</v>
      </c>
      <c r="BE48" s="27" t="str">
        <f t="shared" si="65"/>
        <v>ND</v>
      </c>
      <c r="BF48" s="27" t="str">
        <f t="shared" si="66"/>
        <v>ND</v>
      </c>
      <c r="BG48" s="27" t="str">
        <f t="shared" si="67"/>
        <v>ND</v>
      </c>
      <c r="BH48" s="27" t="str">
        <f t="shared" si="68"/>
        <v>ND</v>
      </c>
      <c r="BI48" s="27" t="str">
        <f t="shared" si="69"/>
        <v>ND</v>
      </c>
      <c r="BJ48" s="27" t="str">
        <f t="shared" si="70"/>
        <v>ND</v>
      </c>
      <c r="BK48" s="27" t="str">
        <f t="shared" si="71"/>
        <v>ND</v>
      </c>
      <c r="BL48" s="27" t="str">
        <f t="shared" si="72"/>
        <v>ND</v>
      </c>
      <c r="BM48" s="27" t="str">
        <f t="shared" si="73"/>
        <v>ND</v>
      </c>
      <c r="BN48" s="16"/>
      <c r="BT48" s="3"/>
      <c r="BU48" s="34">
        <f t="shared" si="74"/>
        <v>10904.801374741342</v>
      </c>
      <c r="BV48" s="10"/>
    </row>
    <row r="49" spans="1:74" ht="15">
      <c r="A49" s="5" t="s">
        <v>7</v>
      </c>
      <c r="B49" s="10"/>
      <c r="C49" s="16"/>
      <c r="D49" s="16"/>
      <c r="E49" s="16"/>
      <c r="F49" s="14">
        <v>69.9</v>
      </c>
      <c r="G49" s="16"/>
      <c r="H49" s="16"/>
      <c r="I49" s="16"/>
      <c r="J49" s="14">
        <f>5.5+31.1</f>
        <v>36.6</v>
      </c>
      <c r="K49" s="16"/>
      <c r="L49" s="14">
        <v>95.9</v>
      </c>
      <c r="M49" s="16"/>
      <c r="N49" s="16"/>
      <c r="O49" s="16"/>
      <c r="P49" s="16"/>
      <c r="Q49" s="16"/>
      <c r="R49" s="14">
        <v>68.5</v>
      </c>
      <c r="S49" s="16"/>
      <c r="T49" s="14">
        <v>9</v>
      </c>
      <c r="U49" s="14">
        <v>6.9</v>
      </c>
      <c r="V49" s="14">
        <v>9.6</v>
      </c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9">
        <v>0</v>
      </c>
      <c r="AL49" s="21" t="str">
        <f t="shared" si="46"/>
        <v>ND</v>
      </c>
      <c r="AM49" s="27" t="str">
        <f t="shared" si="47"/>
        <v>ND</v>
      </c>
      <c r="AN49" s="27" t="str">
        <f t="shared" si="48"/>
        <v>ND</v>
      </c>
      <c r="AO49" s="27" t="str">
        <f t="shared" si="49"/>
        <v>ND</v>
      </c>
      <c r="AP49" s="27">
        <f t="shared" si="50"/>
        <v>1089.973491345704</v>
      </c>
      <c r="AQ49" s="27" t="str">
        <f t="shared" si="51"/>
        <v>ND</v>
      </c>
      <c r="AR49" s="27" t="str">
        <f t="shared" si="52"/>
        <v>ND</v>
      </c>
      <c r="AS49" s="27" t="str">
        <f t="shared" si="53"/>
        <v>ND</v>
      </c>
      <c r="AT49" s="27">
        <f t="shared" si="54"/>
        <v>570.7157336659909</v>
      </c>
      <c r="AU49" s="27" t="str">
        <f t="shared" si="55"/>
        <v>ND</v>
      </c>
      <c r="AV49" s="27">
        <f t="shared" si="56"/>
        <v>1495.3999688133479</v>
      </c>
      <c r="AW49" s="27" t="str">
        <f t="shared" si="57"/>
        <v>ND</v>
      </c>
      <c r="AX49" s="27" t="str">
        <f t="shared" si="58"/>
        <v>ND</v>
      </c>
      <c r="AY49" s="27" t="str">
        <f t="shared" si="59"/>
        <v>ND</v>
      </c>
      <c r="AZ49" s="27" t="str">
        <f t="shared" si="60"/>
        <v>ND</v>
      </c>
      <c r="BA49" s="27" t="str">
        <f t="shared" si="61"/>
        <v>ND</v>
      </c>
      <c r="BB49" s="27">
        <f t="shared" si="62"/>
        <v>1068.142834866677</v>
      </c>
      <c r="BC49" s="27" t="str">
        <f t="shared" si="63"/>
        <v>ND</v>
      </c>
      <c r="BD49" s="27">
        <f t="shared" si="64"/>
        <v>140.33993450803055</v>
      </c>
      <c r="BE49" s="27">
        <f t="shared" si="65"/>
        <v>107.5939497894901</v>
      </c>
      <c r="BF49" s="27">
        <f t="shared" si="66"/>
        <v>149.69593014189925</v>
      </c>
      <c r="BG49" s="27" t="str">
        <f t="shared" si="67"/>
        <v>ND</v>
      </c>
      <c r="BH49" s="27" t="str">
        <f t="shared" si="68"/>
        <v>ND</v>
      </c>
      <c r="BI49" s="27" t="str">
        <f t="shared" si="69"/>
        <v>ND</v>
      </c>
      <c r="BJ49" s="27" t="str">
        <f t="shared" si="70"/>
        <v>ND</v>
      </c>
      <c r="BK49" s="27" t="str">
        <f t="shared" si="71"/>
        <v>ND</v>
      </c>
      <c r="BL49" s="27" t="str">
        <f t="shared" si="72"/>
        <v>ND</v>
      </c>
      <c r="BM49" s="27" t="str">
        <f t="shared" si="73"/>
        <v>ND</v>
      </c>
      <c r="BN49" s="16"/>
      <c r="BT49" s="3"/>
      <c r="BU49" s="34">
        <f t="shared" si="74"/>
        <v>2.855461607605689</v>
      </c>
      <c r="BV49" s="10"/>
    </row>
    <row r="50" spans="1:74" ht="15">
      <c r="A50" s="5" t="s">
        <v>8</v>
      </c>
      <c r="B50" s="9">
        <f>26.6+0.9+1.2+5</f>
        <v>33.7</v>
      </c>
      <c r="C50" s="16"/>
      <c r="D50" s="14">
        <v>38</v>
      </c>
      <c r="E50" s="16"/>
      <c r="F50" s="14">
        <v>4</v>
      </c>
      <c r="G50" s="14">
        <v>2</v>
      </c>
      <c r="H50" s="14">
        <v>3.6</v>
      </c>
      <c r="I50" s="14">
        <v>2.1</v>
      </c>
      <c r="J50" s="14">
        <f>1.5+3.5+35.8</f>
        <v>40.8</v>
      </c>
      <c r="K50" s="14">
        <v>4.2</v>
      </c>
      <c r="L50" s="14">
        <f>380.4+14.2+3.2</f>
        <v>397.79999999999995</v>
      </c>
      <c r="M50" s="14">
        <f>7.7+1.1+1.3+0.7</f>
        <v>10.8</v>
      </c>
      <c r="N50" s="14">
        <v>7.2</v>
      </c>
      <c r="O50" s="14">
        <f>10+7.9+42</f>
        <v>59.9</v>
      </c>
      <c r="P50" s="14">
        <v>28.5</v>
      </c>
      <c r="Q50" s="14">
        <v>6.1</v>
      </c>
      <c r="R50" s="14">
        <f>1.4+2.7+599.9</f>
        <v>604</v>
      </c>
      <c r="S50" s="14">
        <f>3.1+5.2+0.8+1.1</f>
        <v>10.200000000000001</v>
      </c>
      <c r="T50" s="14">
        <f>14.5+1.1</f>
        <v>15.6</v>
      </c>
      <c r="U50" s="14">
        <f>20.5+3.8</f>
        <v>24.3</v>
      </c>
      <c r="V50" s="14">
        <f>1.2+19.5</f>
        <v>20.7</v>
      </c>
      <c r="W50" s="14">
        <v>7.1</v>
      </c>
      <c r="X50" s="14">
        <v>5.3</v>
      </c>
      <c r="Y50" s="14">
        <v>9.2</v>
      </c>
      <c r="Z50" s="14">
        <v>2</v>
      </c>
      <c r="AA50" s="14">
        <v>3.9</v>
      </c>
      <c r="AB50" s="14">
        <v>1.4</v>
      </c>
      <c r="AC50" s="14">
        <v>12.9</v>
      </c>
      <c r="AD50" s="16"/>
      <c r="AE50" s="16"/>
      <c r="AF50" s="16"/>
      <c r="AG50" s="16"/>
      <c r="AH50" s="16"/>
      <c r="AI50" s="16"/>
      <c r="AJ50" s="16"/>
      <c r="AK50" s="9">
        <v>0</v>
      </c>
      <c r="AL50" s="21">
        <f t="shared" si="46"/>
        <v>525.4950881022922</v>
      </c>
      <c r="AM50" s="27" t="str">
        <f t="shared" si="47"/>
        <v>ND</v>
      </c>
      <c r="AN50" s="27">
        <f t="shared" si="48"/>
        <v>592.5463901450179</v>
      </c>
      <c r="AO50" s="27" t="str">
        <f t="shared" si="49"/>
        <v>ND</v>
      </c>
      <c r="AP50" s="27">
        <f t="shared" si="50"/>
        <v>62.37330422579136</v>
      </c>
      <c r="AQ50" s="27">
        <f t="shared" si="51"/>
        <v>31.18665211289568</v>
      </c>
      <c r="AR50" s="27">
        <f t="shared" si="52"/>
        <v>56.135973803212224</v>
      </c>
      <c r="AS50" s="27">
        <f t="shared" si="53"/>
        <v>32.74598471854046</v>
      </c>
      <c r="AT50" s="27">
        <f t="shared" si="54"/>
        <v>636.2077031030718</v>
      </c>
      <c r="AU50" s="27">
        <f t="shared" si="55"/>
        <v>65.49196943708093</v>
      </c>
      <c r="AV50" s="27">
        <f t="shared" si="56"/>
        <v>6203.025105254949</v>
      </c>
      <c r="AW50" s="27">
        <f t="shared" si="57"/>
        <v>168.40792140963666</v>
      </c>
      <c r="AX50" s="27">
        <f t="shared" si="58"/>
        <v>112.27194760642445</v>
      </c>
      <c r="AY50" s="27">
        <f t="shared" si="59"/>
        <v>934.0402307812255</v>
      </c>
      <c r="AZ50" s="27">
        <f t="shared" si="60"/>
        <v>444.4097926087634</v>
      </c>
      <c r="BA50" s="27">
        <f t="shared" si="61"/>
        <v>95.11928894433181</v>
      </c>
      <c r="BB50" s="27">
        <f t="shared" si="62"/>
        <v>9418.368938094494</v>
      </c>
      <c r="BC50" s="27">
        <f t="shared" si="63"/>
        <v>159.05192577576798</v>
      </c>
      <c r="BD50" s="27">
        <f t="shared" si="64"/>
        <v>243.25588648058627</v>
      </c>
      <c r="BE50" s="27">
        <f t="shared" si="65"/>
        <v>378.91782317168247</v>
      </c>
      <c r="BF50" s="27">
        <f t="shared" si="66"/>
        <v>322.78184936847026</v>
      </c>
      <c r="BG50" s="27">
        <f t="shared" si="67"/>
        <v>110.71261500077965</v>
      </c>
      <c r="BH50" s="27">
        <f t="shared" si="68"/>
        <v>82.64462809917354</v>
      </c>
      <c r="BI50" s="27">
        <f t="shared" si="69"/>
        <v>143.45859971932012</v>
      </c>
      <c r="BJ50" s="27">
        <f t="shared" si="70"/>
        <v>31.18665211289568</v>
      </c>
      <c r="BK50" s="27">
        <f t="shared" si="71"/>
        <v>60.81397162014657</v>
      </c>
      <c r="BL50" s="27">
        <f t="shared" si="72"/>
        <v>21.830656479026974</v>
      </c>
      <c r="BM50" s="27">
        <f t="shared" si="73"/>
        <v>201.1539061281771</v>
      </c>
      <c r="BN50" s="16"/>
      <c r="BT50" s="3"/>
      <c r="BU50" s="34">
        <f t="shared" si="74"/>
        <v>13.63643136799226</v>
      </c>
      <c r="BV50" s="10"/>
    </row>
    <row r="51" spans="1:74" ht="15">
      <c r="A51" s="5" t="s">
        <v>9</v>
      </c>
      <c r="B51" s="9">
        <f>416.6+135.9+214.3+166.9</f>
        <v>933.6999999999999</v>
      </c>
      <c r="C51" s="16"/>
      <c r="D51" s="14">
        <v>1266</v>
      </c>
      <c r="E51" s="16"/>
      <c r="F51" s="14">
        <v>476.4</v>
      </c>
      <c r="G51" s="14">
        <v>238.2</v>
      </c>
      <c r="H51" s="14">
        <v>185.6</v>
      </c>
      <c r="I51" s="14">
        <v>109.4</v>
      </c>
      <c r="J51" s="14">
        <f>122.1+306+586.3</f>
        <v>1014.4</v>
      </c>
      <c r="K51" s="14">
        <v>442.3</v>
      </c>
      <c r="L51" s="14">
        <f>3303.7+268.6+230.9</f>
        <v>3803.2</v>
      </c>
      <c r="M51" s="14">
        <f>288.7+195+289.6+205.8</f>
        <v>979.0999999999999</v>
      </c>
      <c r="N51" s="14">
        <v>179.6</v>
      </c>
      <c r="O51" s="14">
        <f>485.8+362.2+835.6</f>
        <v>1683.6</v>
      </c>
      <c r="P51" s="14">
        <v>386</v>
      </c>
      <c r="Q51" s="14">
        <v>189.9</v>
      </c>
      <c r="R51" s="14">
        <f>54.2+100.1+4174.3</f>
        <v>4328.6</v>
      </c>
      <c r="S51" s="14">
        <f>197.7+363.2+126.1+210.7</f>
        <v>897.7</v>
      </c>
      <c r="T51" s="14">
        <f>334+96.6</f>
        <v>430.6</v>
      </c>
      <c r="U51" s="14">
        <f>331.6+127.1</f>
        <v>458.70000000000005</v>
      </c>
      <c r="V51" s="14">
        <f>115.5+628.3</f>
        <v>743.8</v>
      </c>
      <c r="W51" s="14">
        <v>341.3</v>
      </c>
      <c r="X51" s="14">
        <v>202.1</v>
      </c>
      <c r="Y51" s="14">
        <v>118.3</v>
      </c>
      <c r="Z51" s="14">
        <v>147.1</v>
      </c>
      <c r="AA51" s="14">
        <v>183.5</v>
      </c>
      <c r="AB51" s="14">
        <v>151</v>
      </c>
      <c r="AC51" s="14">
        <v>1105.8</v>
      </c>
      <c r="AD51" s="16"/>
      <c r="AE51" s="16"/>
      <c r="AF51" s="16"/>
      <c r="AG51" s="16"/>
      <c r="AH51" s="16"/>
      <c r="AI51" s="16"/>
      <c r="AJ51" s="16"/>
      <c r="AK51" s="9">
        <v>0</v>
      </c>
      <c r="AL51" s="21">
        <f t="shared" si="46"/>
        <v>14559.488538905345</v>
      </c>
      <c r="AM51" s="27" t="str">
        <f t="shared" si="47"/>
        <v>ND</v>
      </c>
      <c r="AN51" s="27">
        <f t="shared" si="48"/>
        <v>19741.150787462964</v>
      </c>
      <c r="AO51" s="27" t="str">
        <f t="shared" si="49"/>
        <v>ND</v>
      </c>
      <c r="AP51" s="27">
        <f t="shared" si="50"/>
        <v>7428.66053329175</v>
      </c>
      <c r="AQ51" s="27">
        <f t="shared" si="51"/>
        <v>3714.330266645875</v>
      </c>
      <c r="AR51" s="27">
        <f t="shared" si="52"/>
        <v>2894.121316076719</v>
      </c>
      <c r="AS51" s="27">
        <f t="shared" si="53"/>
        <v>1705.9098705753936</v>
      </c>
      <c r="AT51" s="27">
        <f t="shared" si="54"/>
        <v>15817.869951660687</v>
      </c>
      <c r="AU51" s="27">
        <f t="shared" si="55"/>
        <v>6896.928114766879</v>
      </c>
      <c r="AV51" s="27">
        <f t="shared" si="56"/>
        <v>59304.537657882414</v>
      </c>
      <c r="AW51" s="27">
        <f t="shared" si="57"/>
        <v>15267.425541868077</v>
      </c>
      <c r="AX51" s="27">
        <f t="shared" si="58"/>
        <v>2800.5613597380316</v>
      </c>
      <c r="AY51" s="27">
        <f t="shared" si="59"/>
        <v>26252.92374863558</v>
      </c>
      <c r="AZ51" s="27">
        <f t="shared" si="60"/>
        <v>6019.023857788866</v>
      </c>
      <c r="BA51" s="27">
        <f t="shared" si="61"/>
        <v>2961.1726181194445</v>
      </c>
      <c r="BB51" s="27">
        <f t="shared" si="62"/>
        <v>67497.27116794013</v>
      </c>
      <c r="BC51" s="27">
        <f t="shared" si="63"/>
        <v>13998.128800873226</v>
      </c>
      <c r="BD51" s="27">
        <f t="shared" si="64"/>
        <v>6714.48619990644</v>
      </c>
      <c r="BE51" s="27">
        <f t="shared" si="65"/>
        <v>7152.658662092625</v>
      </c>
      <c r="BF51" s="27">
        <f t="shared" si="66"/>
        <v>11598.315920785903</v>
      </c>
      <c r="BG51" s="27">
        <f t="shared" si="67"/>
        <v>5322.002183065648</v>
      </c>
      <c r="BH51" s="27">
        <f t="shared" si="68"/>
        <v>3151.411196008108</v>
      </c>
      <c r="BI51" s="27">
        <f t="shared" si="69"/>
        <v>1844.6904724777792</v>
      </c>
      <c r="BJ51" s="27">
        <f t="shared" si="70"/>
        <v>2293.778262903477</v>
      </c>
      <c r="BK51" s="27">
        <f t="shared" si="71"/>
        <v>2861.3753313581783</v>
      </c>
      <c r="BL51" s="27">
        <f t="shared" si="72"/>
        <v>2354.5922345236236</v>
      </c>
      <c r="BM51" s="27">
        <f t="shared" si="73"/>
        <v>17243.09995322002</v>
      </c>
      <c r="BN51" s="16"/>
      <c r="BT51" s="3"/>
      <c r="BU51" s="34">
        <f t="shared" si="74"/>
        <v>244.85334055402654</v>
      </c>
      <c r="BV51" s="10"/>
    </row>
    <row r="52" spans="1:74" ht="15">
      <c r="A52" s="5" t="s">
        <v>10</v>
      </c>
      <c r="B52" s="9">
        <f>30.9+0+8.6+15.6</f>
        <v>55.1</v>
      </c>
      <c r="C52" s="16"/>
      <c r="D52" s="14">
        <v>45.4</v>
      </c>
      <c r="E52" s="16"/>
      <c r="F52" s="14">
        <v>13.6</v>
      </c>
      <c r="G52" s="14">
        <v>8.6</v>
      </c>
      <c r="H52" s="14">
        <v>7.9</v>
      </c>
      <c r="I52" s="14">
        <v>4.5</v>
      </c>
      <c r="J52" s="14">
        <f>3.9+7.6+49</f>
        <v>60.5</v>
      </c>
      <c r="K52" s="14">
        <v>19.1</v>
      </c>
      <c r="L52" s="14">
        <f>317.6+21.2+0</f>
        <v>338.8</v>
      </c>
      <c r="M52" s="14">
        <v>14</v>
      </c>
      <c r="N52" s="14">
        <v>15.2</v>
      </c>
      <c r="O52" s="14">
        <f>22.9+56.6</f>
        <v>79.5</v>
      </c>
      <c r="P52" s="14">
        <v>36</v>
      </c>
      <c r="Q52" s="14">
        <v>10.4</v>
      </c>
      <c r="R52" s="14">
        <f>3.9+3.4+603.7</f>
        <v>611</v>
      </c>
      <c r="S52" s="14">
        <v>8.3</v>
      </c>
      <c r="T52" s="14">
        <v>15.7</v>
      </c>
      <c r="U52" s="14">
        <f>20.5+6.9</f>
        <v>27.4</v>
      </c>
      <c r="V52" s="14">
        <v>23.6</v>
      </c>
      <c r="W52" s="14">
        <v>16.3</v>
      </c>
      <c r="X52" s="14">
        <v>9.6</v>
      </c>
      <c r="Y52" s="14">
        <v>12.2</v>
      </c>
      <c r="Z52" s="16"/>
      <c r="AA52" s="14">
        <v>9.2</v>
      </c>
      <c r="AB52" s="16"/>
      <c r="AC52" s="14">
        <v>17.6</v>
      </c>
      <c r="AD52" s="16"/>
      <c r="AE52" s="16"/>
      <c r="AF52" s="16"/>
      <c r="AG52" s="16"/>
      <c r="AH52" s="16"/>
      <c r="AI52" s="16"/>
      <c r="AJ52" s="16"/>
      <c r="AK52" s="9">
        <v>9.4</v>
      </c>
      <c r="AL52" s="21">
        <f t="shared" si="46"/>
        <v>712.6150007796663</v>
      </c>
      <c r="AM52" s="27" t="str">
        <f t="shared" si="47"/>
        <v>ND</v>
      </c>
      <c r="AN52" s="27">
        <f t="shared" si="48"/>
        <v>561.3597380321222</v>
      </c>
      <c r="AO52" s="27" t="str">
        <f t="shared" si="49"/>
        <v>ND</v>
      </c>
      <c r="AP52" s="27">
        <f t="shared" si="50"/>
        <v>65.49196943708091</v>
      </c>
      <c r="AQ52" s="27" t="str">
        <f t="shared" si="51"/>
        <v>ND</v>
      </c>
      <c r="AR52" s="27" t="str">
        <f t="shared" si="52"/>
        <v>ND</v>
      </c>
      <c r="AS52" s="27" t="str">
        <f t="shared" si="53"/>
        <v>ND</v>
      </c>
      <c r="AT52" s="27">
        <f t="shared" si="54"/>
        <v>796.8189614844846</v>
      </c>
      <c r="AU52" s="27">
        <f t="shared" si="55"/>
        <v>151.25526274754407</v>
      </c>
      <c r="AV52" s="27">
        <f t="shared" si="56"/>
        <v>5136.441602993918</v>
      </c>
      <c r="AW52" s="27">
        <f t="shared" si="57"/>
        <v>71.72929985966006</v>
      </c>
      <c r="AX52" s="27">
        <f t="shared" si="58"/>
        <v>90.44129112739745</v>
      </c>
      <c r="AY52" s="27">
        <f t="shared" si="59"/>
        <v>1093.0921565569934</v>
      </c>
      <c r="AZ52" s="27">
        <f t="shared" si="60"/>
        <v>414.78247310151255</v>
      </c>
      <c r="BA52" s="27">
        <f t="shared" si="61"/>
        <v>15.59332605644784</v>
      </c>
      <c r="BB52" s="27">
        <f t="shared" si="62"/>
        <v>9380.94495555902</v>
      </c>
      <c r="BC52" s="27" t="str">
        <f t="shared" si="63"/>
        <v>ND</v>
      </c>
      <c r="BD52" s="27">
        <f t="shared" si="64"/>
        <v>98.23795415562137</v>
      </c>
      <c r="BE52" s="27">
        <f t="shared" si="65"/>
        <v>280.6798690160611</v>
      </c>
      <c r="BF52" s="27">
        <f t="shared" si="66"/>
        <v>221.42523000155933</v>
      </c>
      <c r="BG52" s="27">
        <f t="shared" si="67"/>
        <v>107.5939497894901</v>
      </c>
      <c r="BH52" s="27">
        <f t="shared" si="68"/>
        <v>3.1186652112895565</v>
      </c>
      <c r="BI52" s="27">
        <f t="shared" si="69"/>
        <v>43.661312958053934</v>
      </c>
      <c r="BJ52" s="27" t="str">
        <f t="shared" si="70"/>
        <v>ND</v>
      </c>
      <c r="BK52" s="27" t="str">
        <f t="shared" si="71"/>
        <v>ND</v>
      </c>
      <c r="BL52" s="27" t="str">
        <f t="shared" si="72"/>
        <v>ND</v>
      </c>
      <c r="BM52" s="27">
        <f t="shared" si="73"/>
        <v>127.8652736628723</v>
      </c>
      <c r="BN52" s="16"/>
      <c r="BT52" s="3"/>
      <c r="BU52" s="34">
        <f t="shared" si="74"/>
        <v>13.002675549845359</v>
      </c>
      <c r="BV52" s="10"/>
    </row>
    <row r="53" spans="1:74" ht="15">
      <c r="A53" s="5" t="s">
        <v>11</v>
      </c>
      <c r="B53" s="9">
        <f>15522+450+1011+654</f>
        <v>17637</v>
      </c>
      <c r="C53" s="16"/>
      <c r="D53" s="14">
        <v>1709.9</v>
      </c>
      <c r="E53" s="16"/>
      <c r="F53" s="14">
        <v>585.7</v>
      </c>
      <c r="G53" s="14">
        <v>652.2</v>
      </c>
      <c r="H53" s="14">
        <v>881</v>
      </c>
      <c r="I53" s="14">
        <v>926</v>
      </c>
      <c r="J53" s="14">
        <f>289+487+1536</f>
        <v>2312</v>
      </c>
      <c r="K53" s="14">
        <v>1259</v>
      </c>
      <c r="L53" s="14">
        <f>7839+942+502</f>
        <v>9283</v>
      </c>
      <c r="M53" s="14">
        <f>636+548+269+487</f>
        <v>1940</v>
      </c>
      <c r="N53" s="14">
        <v>1018</v>
      </c>
      <c r="O53" s="14">
        <f>532+592+795</f>
        <v>1919</v>
      </c>
      <c r="P53" s="14">
        <v>1439</v>
      </c>
      <c r="Q53" s="14">
        <v>373</v>
      </c>
      <c r="R53" s="14">
        <f>323+318+4384</f>
        <v>5025</v>
      </c>
      <c r="S53" s="14">
        <f>400+543+302+941</f>
        <v>2186</v>
      </c>
      <c r="T53" s="14">
        <f>634+294</f>
        <v>928</v>
      </c>
      <c r="U53" s="14">
        <f>478+452</f>
        <v>930</v>
      </c>
      <c r="V53" s="14">
        <f>436+664</f>
        <v>1100</v>
      </c>
      <c r="W53" s="14">
        <v>448</v>
      </c>
      <c r="X53" s="14">
        <v>505</v>
      </c>
      <c r="Y53" s="14">
        <v>558</v>
      </c>
      <c r="Z53" s="14">
        <v>513</v>
      </c>
      <c r="AA53" s="14">
        <v>426</v>
      </c>
      <c r="AB53" s="14">
        <v>445</v>
      </c>
      <c r="AC53" s="14">
        <v>1191</v>
      </c>
      <c r="AD53" s="16"/>
      <c r="AE53" s="16"/>
      <c r="AF53" s="16"/>
      <c r="AG53" s="16"/>
      <c r="AH53" s="16"/>
      <c r="AI53" s="16"/>
      <c r="AJ53" s="16"/>
      <c r="AK53" s="9">
        <v>445</v>
      </c>
      <c r="AL53" s="21">
        <f t="shared" si="46"/>
        <v>268080.46156245127</v>
      </c>
      <c r="AM53" s="27" t="str">
        <f t="shared" si="47"/>
        <v>ND</v>
      </c>
      <c r="AN53" s="27">
        <f t="shared" si="48"/>
        <v>19723.99812880087</v>
      </c>
      <c r="AO53" s="27" t="str">
        <f t="shared" si="49"/>
        <v>ND</v>
      </c>
      <c r="AP53" s="27">
        <f t="shared" si="50"/>
        <v>2193.9809761422116</v>
      </c>
      <c r="AQ53" s="27">
        <f t="shared" si="51"/>
        <v>3230.937158895993</v>
      </c>
      <c r="AR53" s="27">
        <f t="shared" si="52"/>
        <v>6798.690160611258</v>
      </c>
      <c r="AS53" s="27">
        <f t="shared" si="53"/>
        <v>7500.38983315141</v>
      </c>
      <c r="AT53" s="27">
        <f t="shared" si="54"/>
        <v>29112.739747388114</v>
      </c>
      <c r="AU53" s="27">
        <f t="shared" si="55"/>
        <v>12692.96740994854</v>
      </c>
      <c r="AV53" s="27">
        <f t="shared" si="56"/>
        <v>137813.815686886</v>
      </c>
      <c r="AW53" s="27">
        <f t="shared" si="57"/>
        <v>23312.02245438952</v>
      </c>
      <c r="AX53" s="27">
        <f t="shared" si="58"/>
        <v>8934.975830344612</v>
      </c>
      <c r="AY53" s="27">
        <f t="shared" si="59"/>
        <v>22984.562607204116</v>
      </c>
      <c r="AZ53" s="27">
        <f t="shared" si="60"/>
        <v>15499.766100109151</v>
      </c>
      <c r="BA53" s="27" t="str">
        <f t="shared" si="61"/>
        <v>ND</v>
      </c>
      <c r="BB53" s="27">
        <f t="shared" si="62"/>
        <v>71417.4333385311</v>
      </c>
      <c r="BC53" s="27">
        <f t="shared" si="63"/>
        <v>27147.98066427569</v>
      </c>
      <c r="BD53" s="27">
        <f t="shared" si="64"/>
        <v>7531.576485264306</v>
      </c>
      <c r="BE53" s="27">
        <f t="shared" si="65"/>
        <v>7562.763137377202</v>
      </c>
      <c r="BF53" s="27">
        <f t="shared" si="66"/>
        <v>10213.628566973335</v>
      </c>
      <c r="BG53" s="27">
        <f t="shared" si="67"/>
        <v>46.779978169343515</v>
      </c>
      <c r="BH53" s="27">
        <f t="shared" si="68"/>
        <v>935.5995633868703</v>
      </c>
      <c r="BI53" s="27">
        <f t="shared" si="69"/>
        <v>1762.0458443786058</v>
      </c>
      <c r="BJ53" s="27">
        <f t="shared" si="70"/>
        <v>1060.346171838453</v>
      </c>
      <c r="BK53" s="27" t="str">
        <f t="shared" si="71"/>
        <v>ND</v>
      </c>
      <c r="BL53" s="27" t="str">
        <f t="shared" si="72"/>
        <v>ND</v>
      </c>
      <c r="BM53" s="27">
        <f t="shared" si="73"/>
        <v>11632.621238110089</v>
      </c>
      <c r="BN53" s="16"/>
      <c r="BT53" s="3"/>
      <c r="BU53" s="34">
        <f t="shared" si="74"/>
        <v>510.8897913083165</v>
      </c>
      <c r="BV53" s="10"/>
    </row>
    <row r="54" spans="1:74" ht="15">
      <c r="A54" s="5" t="s">
        <v>12</v>
      </c>
      <c r="B54" s="9">
        <f>0+25.1+0+0</f>
        <v>25.1</v>
      </c>
      <c r="C54" s="16"/>
      <c r="D54" s="14">
        <v>37.2</v>
      </c>
      <c r="E54" s="16"/>
      <c r="F54" s="14">
        <v>39.6</v>
      </c>
      <c r="G54" s="16"/>
      <c r="H54" s="14">
        <v>7.3</v>
      </c>
      <c r="I54" s="16"/>
      <c r="J54" s="14">
        <v>6.3</v>
      </c>
      <c r="K54" s="16"/>
      <c r="L54" s="14">
        <v>480.9</v>
      </c>
      <c r="M54" s="16"/>
      <c r="N54" s="14">
        <v>22</v>
      </c>
      <c r="O54" s="16"/>
      <c r="P54" s="16"/>
      <c r="Q54" s="16"/>
      <c r="R54" s="14">
        <f>11.6+14.1+276.1</f>
        <v>301.8</v>
      </c>
      <c r="S54" s="14">
        <f>23.9+33.5+9+17.9</f>
        <v>84.30000000000001</v>
      </c>
      <c r="T54" s="14">
        <v>24.9</v>
      </c>
      <c r="U54" s="14">
        <v>20.4</v>
      </c>
      <c r="V54" s="16"/>
      <c r="W54" s="16"/>
      <c r="X54" s="16"/>
      <c r="Y54" s="14">
        <v>10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9">
        <v>0</v>
      </c>
      <c r="AL54" s="21">
        <f t="shared" si="46"/>
        <v>391.3924840168408</v>
      </c>
      <c r="AM54" s="27" t="str">
        <f t="shared" si="47"/>
        <v>ND</v>
      </c>
      <c r="AN54" s="27">
        <f t="shared" si="48"/>
        <v>580.0717292998596</v>
      </c>
      <c r="AO54" s="27" t="str">
        <f t="shared" si="49"/>
        <v>ND</v>
      </c>
      <c r="AP54" s="27">
        <f t="shared" si="50"/>
        <v>617.4957118353344</v>
      </c>
      <c r="AQ54" s="27" t="str">
        <f t="shared" si="51"/>
        <v>ND</v>
      </c>
      <c r="AR54" s="27">
        <f t="shared" si="52"/>
        <v>113.83128021206922</v>
      </c>
      <c r="AS54" s="27" t="str">
        <f t="shared" si="53"/>
        <v>ND</v>
      </c>
      <c r="AT54" s="27">
        <f t="shared" si="54"/>
        <v>98.23795415562138</v>
      </c>
      <c r="AU54" s="27" t="str">
        <f t="shared" si="55"/>
        <v>ND</v>
      </c>
      <c r="AV54" s="27">
        <f t="shared" si="56"/>
        <v>7498.830500545765</v>
      </c>
      <c r="AW54" s="27" t="str">
        <f t="shared" si="57"/>
        <v>ND</v>
      </c>
      <c r="AX54" s="27">
        <f t="shared" si="58"/>
        <v>343.05317324185245</v>
      </c>
      <c r="AY54" s="27" t="str">
        <f t="shared" si="59"/>
        <v>ND</v>
      </c>
      <c r="AZ54" s="27" t="str">
        <f t="shared" si="60"/>
        <v>ND</v>
      </c>
      <c r="BA54" s="27" t="str">
        <f t="shared" si="61"/>
        <v>ND</v>
      </c>
      <c r="BB54" s="27">
        <f t="shared" si="62"/>
        <v>4706.065803835958</v>
      </c>
      <c r="BC54" s="27">
        <f t="shared" si="63"/>
        <v>1314.517386558553</v>
      </c>
      <c r="BD54" s="27">
        <f t="shared" si="64"/>
        <v>388.2738188055512</v>
      </c>
      <c r="BE54" s="27">
        <f t="shared" si="65"/>
        <v>318.1038515515359</v>
      </c>
      <c r="BF54" s="27" t="str">
        <f t="shared" si="66"/>
        <v>ND</v>
      </c>
      <c r="BG54" s="27" t="str">
        <f t="shared" si="67"/>
        <v>ND</v>
      </c>
      <c r="BH54" s="27" t="str">
        <f t="shared" si="68"/>
        <v>ND</v>
      </c>
      <c r="BI54" s="27">
        <f t="shared" si="69"/>
        <v>155.9332605644784</v>
      </c>
      <c r="BJ54" s="27" t="str">
        <f t="shared" si="70"/>
        <v>ND</v>
      </c>
      <c r="BK54" s="27" t="str">
        <f t="shared" si="71"/>
        <v>ND</v>
      </c>
      <c r="BL54" s="27" t="str">
        <f t="shared" si="72"/>
        <v>ND</v>
      </c>
      <c r="BM54" s="27" t="str">
        <f t="shared" si="73"/>
        <v>ND</v>
      </c>
      <c r="BN54" s="16"/>
      <c r="BT54" s="3"/>
      <c r="BU54" s="34">
        <f t="shared" si="74"/>
        <v>8.244522317421119</v>
      </c>
      <c r="BV54" s="10"/>
    </row>
    <row r="55" spans="1:74" ht="15">
      <c r="A55" s="5" t="s">
        <v>13</v>
      </c>
      <c r="B55" s="10"/>
      <c r="C55" s="16"/>
      <c r="D55" s="16"/>
      <c r="E55" s="16"/>
      <c r="F55" s="16"/>
      <c r="G55" s="16"/>
      <c r="H55" s="16"/>
      <c r="I55" s="16"/>
      <c r="J55" s="16"/>
      <c r="K55" s="16"/>
      <c r="L55" s="13" t="s">
        <v>38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9">
        <v>0</v>
      </c>
      <c r="AL55" s="21" t="str">
        <f t="shared" si="46"/>
        <v>ND</v>
      </c>
      <c r="AM55" s="27" t="str">
        <f t="shared" si="47"/>
        <v>ND</v>
      </c>
      <c r="AN55" s="27" t="str">
        <f t="shared" si="48"/>
        <v>ND</v>
      </c>
      <c r="AO55" s="27" t="str">
        <f t="shared" si="49"/>
        <v>ND</v>
      </c>
      <c r="AP55" s="27" t="str">
        <f t="shared" si="50"/>
        <v>ND</v>
      </c>
      <c r="AQ55" s="27" t="str">
        <f t="shared" si="51"/>
        <v>ND</v>
      </c>
      <c r="AR55" s="27" t="str">
        <f t="shared" si="52"/>
        <v>ND</v>
      </c>
      <c r="AS55" s="27" t="str">
        <f t="shared" si="53"/>
        <v>ND</v>
      </c>
      <c r="AT55" s="27" t="str">
        <f t="shared" si="54"/>
        <v>ND</v>
      </c>
      <c r="AU55" s="27" t="str">
        <f t="shared" si="55"/>
        <v>ND</v>
      </c>
      <c r="AV55" s="27" t="str">
        <f t="shared" si="56"/>
        <v>ND</v>
      </c>
      <c r="AW55" s="27" t="str">
        <f t="shared" si="57"/>
        <v>ND</v>
      </c>
      <c r="AX55" s="27" t="str">
        <f t="shared" si="58"/>
        <v>ND</v>
      </c>
      <c r="AY55" s="27" t="str">
        <f t="shared" si="59"/>
        <v>ND</v>
      </c>
      <c r="AZ55" s="27" t="str">
        <f t="shared" si="60"/>
        <v>ND</v>
      </c>
      <c r="BA55" s="27" t="str">
        <f t="shared" si="61"/>
        <v>ND</v>
      </c>
      <c r="BB55" s="27" t="str">
        <f t="shared" si="62"/>
        <v>ND</v>
      </c>
      <c r="BC55" s="27" t="str">
        <f t="shared" si="63"/>
        <v>ND</v>
      </c>
      <c r="BD55" s="27" t="str">
        <f t="shared" si="64"/>
        <v>ND</v>
      </c>
      <c r="BE55" s="27" t="str">
        <f t="shared" si="65"/>
        <v>ND</v>
      </c>
      <c r="BF55" s="27" t="str">
        <f t="shared" si="66"/>
        <v>ND</v>
      </c>
      <c r="BG55" s="27" t="str">
        <f t="shared" si="67"/>
        <v>ND</v>
      </c>
      <c r="BH55" s="27" t="str">
        <f t="shared" si="68"/>
        <v>ND</v>
      </c>
      <c r="BI55" s="27" t="str">
        <f t="shared" si="69"/>
        <v>ND</v>
      </c>
      <c r="BJ55" s="27" t="str">
        <f t="shared" si="70"/>
        <v>ND</v>
      </c>
      <c r="BK55" s="27" t="str">
        <f t="shared" si="71"/>
        <v>ND</v>
      </c>
      <c r="BL55" s="27" t="str">
        <f t="shared" si="72"/>
        <v>ND</v>
      </c>
      <c r="BM55" s="27" t="str">
        <f t="shared" si="73"/>
        <v>ND</v>
      </c>
      <c r="BN55" s="16"/>
      <c r="BT55" s="3"/>
      <c r="BU55" s="34">
        <f t="shared" si="74"/>
        <v>0</v>
      </c>
      <c r="BV55" s="10"/>
    </row>
    <row r="56" spans="1:74" ht="15">
      <c r="A56" s="5" t="s">
        <v>14</v>
      </c>
      <c r="B56" s="10"/>
      <c r="C56" s="16"/>
      <c r="D56" s="14">
        <v>38.1</v>
      </c>
      <c r="E56" s="16"/>
      <c r="F56" s="16"/>
      <c r="G56" s="16"/>
      <c r="H56" s="16"/>
      <c r="I56" s="16"/>
      <c r="J56" s="16"/>
      <c r="K56" s="16"/>
      <c r="L56" s="14">
        <v>545.2</v>
      </c>
      <c r="M56" s="16"/>
      <c r="N56" s="16"/>
      <c r="O56" s="16"/>
      <c r="P56" s="14">
        <v>62</v>
      </c>
      <c r="Q56" s="16"/>
      <c r="R56" s="14">
        <v>363.7</v>
      </c>
      <c r="S56" s="16"/>
      <c r="T56" s="16"/>
      <c r="U56" s="14">
        <v>21.3</v>
      </c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9">
        <v>0</v>
      </c>
      <c r="AL56" s="21" t="str">
        <f t="shared" si="46"/>
        <v>ND</v>
      </c>
      <c r="AM56" s="27" t="str">
        <f t="shared" si="47"/>
        <v>ND</v>
      </c>
      <c r="AN56" s="27">
        <f t="shared" si="48"/>
        <v>594.1057227506627</v>
      </c>
      <c r="AO56" s="27" t="str">
        <f t="shared" si="49"/>
        <v>ND</v>
      </c>
      <c r="AP56" s="27" t="str">
        <f t="shared" si="50"/>
        <v>ND</v>
      </c>
      <c r="AQ56" s="27" t="str">
        <f t="shared" si="51"/>
        <v>ND</v>
      </c>
      <c r="AR56" s="27" t="str">
        <f t="shared" si="52"/>
        <v>ND</v>
      </c>
      <c r="AS56" s="27" t="str">
        <f t="shared" si="53"/>
        <v>ND</v>
      </c>
      <c r="AT56" s="27" t="str">
        <f t="shared" si="54"/>
        <v>ND</v>
      </c>
      <c r="AU56" s="27" t="str">
        <f t="shared" si="55"/>
        <v>ND</v>
      </c>
      <c r="AV56" s="27">
        <f t="shared" si="56"/>
        <v>8501.481365975362</v>
      </c>
      <c r="AW56" s="27" t="str">
        <f t="shared" si="57"/>
        <v>ND</v>
      </c>
      <c r="AX56" s="27" t="str">
        <f t="shared" si="58"/>
        <v>ND</v>
      </c>
      <c r="AY56" s="27" t="str">
        <f t="shared" si="59"/>
        <v>ND</v>
      </c>
      <c r="AZ56" s="27">
        <f t="shared" si="60"/>
        <v>966.7862154997661</v>
      </c>
      <c r="BA56" s="27" t="str">
        <f t="shared" si="61"/>
        <v>ND</v>
      </c>
      <c r="BB56" s="27">
        <f t="shared" si="62"/>
        <v>5671.2926867300785</v>
      </c>
      <c r="BC56" s="27" t="str">
        <f t="shared" si="63"/>
        <v>ND</v>
      </c>
      <c r="BD56" s="27" t="str">
        <f t="shared" si="64"/>
        <v>ND</v>
      </c>
      <c r="BE56" s="27">
        <f t="shared" si="65"/>
        <v>332.13784500233896</v>
      </c>
      <c r="BF56" s="27" t="str">
        <f t="shared" si="66"/>
        <v>ND</v>
      </c>
      <c r="BG56" s="27" t="str">
        <f t="shared" si="67"/>
        <v>ND</v>
      </c>
      <c r="BH56" s="27" t="str">
        <f t="shared" si="68"/>
        <v>ND</v>
      </c>
      <c r="BI56" s="27" t="str">
        <f t="shared" si="69"/>
        <v>ND</v>
      </c>
      <c r="BJ56" s="27" t="str">
        <f t="shared" si="70"/>
        <v>ND</v>
      </c>
      <c r="BK56" s="27" t="str">
        <f t="shared" si="71"/>
        <v>ND</v>
      </c>
      <c r="BL56" s="27" t="str">
        <f t="shared" si="72"/>
        <v>ND</v>
      </c>
      <c r="BM56" s="27" t="str">
        <f t="shared" si="73"/>
        <v>ND</v>
      </c>
      <c r="BN56" s="16"/>
      <c r="BT56" s="3"/>
      <c r="BU56" s="34">
        <f t="shared" si="74"/>
        <v>6.908650502990125</v>
      </c>
      <c r="BV56" s="10"/>
    </row>
    <row r="57" spans="1:74" ht="15">
      <c r="A57" s="5" t="s">
        <v>15</v>
      </c>
      <c r="B57" s="9">
        <f>23.8+268.9+0+352.2</f>
        <v>644.9</v>
      </c>
      <c r="C57" s="16"/>
      <c r="D57" s="14">
        <v>12.6</v>
      </c>
      <c r="E57" s="16"/>
      <c r="F57" s="16"/>
      <c r="G57" s="14">
        <v>1.9</v>
      </c>
      <c r="H57" s="14">
        <v>7</v>
      </c>
      <c r="I57" s="14">
        <v>5.2</v>
      </c>
      <c r="J57" s="14">
        <f>5.1+67.4</f>
        <v>72.5</v>
      </c>
      <c r="K57" s="14">
        <v>11.5</v>
      </c>
      <c r="L57" s="14">
        <f>87.3+61.9+0</f>
        <v>149.2</v>
      </c>
      <c r="M57" s="14">
        <v>41.3</v>
      </c>
      <c r="N57" s="14">
        <v>100.5</v>
      </c>
      <c r="O57" s="14">
        <f>14.9+19.6+37.7</f>
        <v>72.2</v>
      </c>
      <c r="P57" s="14">
        <v>19</v>
      </c>
      <c r="Q57" s="14">
        <v>60.4</v>
      </c>
      <c r="R57" s="14">
        <v>91.7</v>
      </c>
      <c r="S57" s="14">
        <f>33.8+10.1</f>
        <v>43.9</v>
      </c>
      <c r="T57" s="14">
        <f>10.8+4.5</f>
        <v>15.3</v>
      </c>
      <c r="U57" s="14">
        <f>39.1+30</f>
        <v>69.1</v>
      </c>
      <c r="V57" s="14">
        <f>27.3+18.1</f>
        <v>45.400000000000006</v>
      </c>
      <c r="W57" s="14">
        <v>33.3</v>
      </c>
      <c r="X57" s="16"/>
      <c r="Y57" s="16"/>
      <c r="Z57" s="16"/>
      <c r="AA57" s="14">
        <v>32.1</v>
      </c>
      <c r="AB57" s="16"/>
      <c r="AC57" s="14">
        <v>56.5</v>
      </c>
      <c r="AD57" s="16"/>
      <c r="AE57" s="16"/>
      <c r="AF57" s="16"/>
      <c r="AG57" s="16"/>
      <c r="AH57" s="16"/>
      <c r="AI57" s="16"/>
      <c r="AJ57" s="16"/>
      <c r="AK57" s="9">
        <v>0</v>
      </c>
      <c r="AL57" s="21">
        <f t="shared" si="46"/>
        <v>10056.135973803212</v>
      </c>
      <c r="AM57" s="27" t="str">
        <f t="shared" si="47"/>
        <v>ND</v>
      </c>
      <c r="AN57" s="27">
        <f t="shared" si="48"/>
        <v>196.47590831124276</v>
      </c>
      <c r="AO57" s="27" t="str">
        <f t="shared" si="49"/>
        <v>ND</v>
      </c>
      <c r="AP57" s="27" t="str">
        <f t="shared" si="50"/>
        <v>ND</v>
      </c>
      <c r="AQ57" s="27">
        <f t="shared" si="51"/>
        <v>29.627319507250892</v>
      </c>
      <c r="AR57" s="27">
        <f t="shared" si="52"/>
        <v>109.15328239513487</v>
      </c>
      <c r="AS57" s="27">
        <f t="shared" si="53"/>
        <v>81.08529549352876</v>
      </c>
      <c r="AT57" s="27">
        <f t="shared" si="54"/>
        <v>1130.5161390924684</v>
      </c>
      <c r="AU57" s="27">
        <f t="shared" si="55"/>
        <v>179.32324964915014</v>
      </c>
      <c r="AV57" s="27">
        <f t="shared" si="56"/>
        <v>2326.5242476220174</v>
      </c>
      <c r="AW57" s="27">
        <f t="shared" si="57"/>
        <v>644.0043661312957</v>
      </c>
      <c r="AX57" s="27">
        <f t="shared" si="58"/>
        <v>1567.1292686730078</v>
      </c>
      <c r="AY57" s="27">
        <f t="shared" si="59"/>
        <v>1125.838141275534</v>
      </c>
      <c r="AZ57" s="27">
        <f t="shared" si="60"/>
        <v>296.27319507250894</v>
      </c>
      <c r="BA57" s="27">
        <f t="shared" si="61"/>
        <v>941.8368938094494</v>
      </c>
      <c r="BB57" s="27">
        <f t="shared" si="62"/>
        <v>1429.9079993762668</v>
      </c>
      <c r="BC57" s="27">
        <f t="shared" si="63"/>
        <v>684.54701387806</v>
      </c>
      <c r="BD57" s="27">
        <f t="shared" si="64"/>
        <v>238.57788866365195</v>
      </c>
      <c r="BE57" s="27">
        <f t="shared" si="65"/>
        <v>1077.4988305005456</v>
      </c>
      <c r="BF57" s="27">
        <f t="shared" si="66"/>
        <v>707.937002962732</v>
      </c>
      <c r="BG57" s="27">
        <f t="shared" si="67"/>
        <v>519.257757679713</v>
      </c>
      <c r="BH57" s="27" t="str">
        <f t="shared" si="68"/>
        <v>ND</v>
      </c>
      <c r="BI57" s="27" t="str">
        <f t="shared" si="69"/>
        <v>ND</v>
      </c>
      <c r="BJ57" s="27" t="str">
        <f t="shared" si="70"/>
        <v>ND</v>
      </c>
      <c r="BK57" s="27">
        <f t="shared" si="71"/>
        <v>500.54576641197565</v>
      </c>
      <c r="BL57" s="27" t="str">
        <f t="shared" si="72"/>
        <v>ND</v>
      </c>
      <c r="BM57" s="27">
        <f t="shared" si="73"/>
        <v>881.0229221893029</v>
      </c>
      <c r="BN57" s="16"/>
      <c r="BT57" s="3"/>
      <c r="BU57" s="34">
        <f t="shared" si="74"/>
        <v>20.455359137177318</v>
      </c>
      <c r="BV57" s="10"/>
    </row>
    <row r="58" spans="1:74" ht="15">
      <c r="A58" s="5" t="s">
        <v>16</v>
      </c>
      <c r="B58" s="9">
        <f>88.3+35.2+38.2+47.8</f>
        <v>209.5</v>
      </c>
      <c r="C58" s="16"/>
      <c r="D58" s="14">
        <v>143.1</v>
      </c>
      <c r="E58" s="16"/>
      <c r="F58" s="14">
        <v>32.7</v>
      </c>
      <c r="G58" s="16"/>
      <c r="H58" s="14">
        <v>34.5</v>
      </c>
      <c r="I58" s="14">
        <v>10.3</v>
      </c>
      <c r="J58" s="14">
        <f>10.7+30.2+106.6</f>
        <v>147.5</v>
      </c>
      <c r="K58" s="14">
        <v>72.1</v>
      </c>
      <c r="L58" s="14">
        <f>71.1+32.4+0</f>
        <v>103.5</v>
      </c>
      <c r="M58" s="14">
        <f>24.8+33.9</f>
        <v>58.7</v>
      </c>
      <c r="N58" s="16"/>
      <c r="O58" s="14">
        <v>5</v>
      </c>
      <c r="P58" s="14">
        <v>47</v>
      </c>
      <c r="Q58" s="14">
        <v>19.9</v>
      </c>
      <c r="R58" s="14">
        <f>14.5+10.3+187.5</f>
        <v>212.3</v>
      </c>
      <c r="S58" s="14">
        <v>24.3</v>
      </c>
      <c r="T58" s="14">
        <f>42.8+18.3</f>
        <v>61.099999999999994</v>
      </c>
      <c r="U58" s="14">
        <f>32.8+12.8</f>
        <v>45.599999999999994</v>
      </c>
      <c r="V58" s="14">
        <f>14.8+53.5</f>
        <v>68.3</v>
      </c>
      <c r="W58" s="16"/>
      <c r="X58" s="16"/>
      <c r="Y58" s="16"/>
      <c r="Z58" s="16"/>
      <c r="AA58" s="16"/>
      <c r="AB58" s="16"/>
      <c r="AC58" s="14">
        <v>87.9</v>
      </c>
      <c r="AD58" s="16"/>
      <c r="AE58" s="16"/>
      <c r="AF58" s="16"/>
      <c r="AG58" s="16"/>
      <c r="AH58" s="16"/>
      <c r="AI58" s="16"/>
      <c r="AJ58" s="16"/>
      <c r="AK58" s="9">
        <v>0</v>
      </c>
      <c r="AL58" s="21">
        <f t="shared" si="46"/>
        <v>3266.8018088258223</v>
      </c>
      <c r="AM58" s="27" t="str">
        <f t="shared" si="47"/>
        <v>ND</v>
      </c>
      <c r="AN58" s="27">
        <f t="shared" si="48"/>
        <v>2231.4049586776855</v>
      </c>
      <c r="AO58" s="27" t="str">
        <f t="shared" si="49"/>
        <v>ND</v>
      </c>
      <c r="AP58" s="27">
        <f t="shared" si="50"/>
        <v>509.90176204584435</v>
      </c>
      <c r="AQ58" s="27" t="str">
        <f t="shared" si="51"/>
        <v>ND</v>
      </c>
      <c r="AR58" s="27">
        <f t="shared" si="52"/>
        <v>537.9697489474504</v>
      </c>
      <c r="AS58" s="27">
        <f t="shared" si="53"/>
        <v>160.61125838141274</v>
      </c>
      <c r="AT58" s="27">
        <f t="shared" si="54"/>
        <v>2300.015593326056</v>
      </c>
      <c r="AU58" s="27">
        <f t="shared" si="55"/>
        <v>1124.278808669889</v>
      </c>
      <c r="AV58" s="27">
        <f t="shared" si="56"/>
        <v>1613.9092468423514</v>
      </c>
      <c r="AW58" s="27">
        <f t="shared" si="57"/>
        <v>915.3282395134881</v>
      </c>
      <c r="AX58" s="27" t="str">
        <f t="shared" si="58"/>
        <v>ND</v>
      </c>
      <c r="AY58" s="27">
        <f t="shared" si="59"/>
        <v>77.9666302822392</v>
      </c>
      <c r="AZ58" s="27">
        <f t="shared" si="60"/>
        <v>732.8863246530484</v>
      </c>
      <c r="BA58" s="27">
        <f t="shared" si="61"/>
        <v>310.307188523312</v>
      </c>
      <c r="BB58" s="27">
        <f t="shared" si="62"/>
        <v>3310.4631217838764</v>
      </c>
      <c r="BC58" s="27">
        <f t="shared" si="63"/>
        <v>378.91782317168247</v>
      </c>
      <c r="BD58" s="27">
        <f t="shared" si="64"/>
        <v>952.7522220489628</v>
      </c>
      <c r="BE58" s="27">
        <f t="shared" si="65"/>
        <v>711.0556681740213</v>
      </c>
      <c r="BF58" s="27">
        <f t="shared" si="66"/>
        <v>1065.0241696553874</v>
      </c>
      <c r="BG58" s="27" t="str">
        <f t="shared" si="67"/>
        <v>ND</v>
      </c>
      <c r="BH58" s="27" t="str">
        <f t="shared" si="68"/>
        <v>ND</v>
      </c>
      <c r="BI58" s="27" t="str">
        <f t="shared" si="69"/>
        <v>ND</v>
      </c>
      <c r="BJ58" s="27" t="str">
        <f t="shared" si="70"/>
        <v>ND</v>
      </c>
      <c r="BK58" s="27" t="str">
        <f t="shared" si="71"/>
        <v>ND</v>
      </c>
      <c r="BL58" s="27" t="str">
        <f t="shared" si="72"/>
        <v>ND</v>
      </c>
      <c r="BM58" s="27">
        <f t="shared" si="73"/>
        <v>1370.6533603617652</v>
      </c>
      <c r="BN58" s="16"/>
      <c r="BT58" s="3"/>
      <c r="BU58" s="34">
        <f t="shared" si="74"/>
        <v>18.226532495829236</v>
      </c>
      <c r="BV58" s="10"/>
    </row>
    <row r="59" spans="1:74" ht="15">
      <c r="A59" s="5" t="s">
        <v>17</v>
      </c>
      <c r="B59" s="9">
        <f>129.5+20.9+28.4+39.9</f>
        <v>218.70000000000002</v>
      </c>
      <c r="C59" s="16"/>
      <c r="D59" s="14">
        <v>171.8</v>
      </c>
      <c r="E59" s="16"/>
      <c r="F59" s="14">
        <v>25.8</v>
      </c>
      <c r="G59" s="14">
        <v>19.2</v>
      </c>
      <c r="H59" s="14">
        <v>20.3</v>
      </c>
      <c r="I59" s="14">
        <v>43.2</v>
      </c>
      <c r="J59" s="14">
        <f>15.1+55.6+156.9</f>
        <v>227.60000000000002</v>
      </c>
      <c r="K59" s="14">
        <v>37.5</v>
      </c>
      <c r="L59" s="14">
        <f>2171.7+69.3+0</f>
        <v>2241</v>
      </c>
      <c r="M59" s="14">
        <f>37.6+27.7+12.8</f>
        <v>78.1</v>
      </c>
      <c r="N59" s="14">
        <v>65.7</v>
      </c>
      <c r="O59" s="14">
        <f>55.5+50.5+156.8</f>
        <v>262.8</v>
      </c>
      <c r="P59" s="14">
        <v>103</v>
      </c>
      <c r="Q59" s="14">
        <v>24.2</v>
      </c>
      <c r="R59" s="14">
        <f>21.6+24.5+2116.9</f>
        <v>2163</v>
      </c>
      <c r="S59" s="14">
        <f>22.7+106.8+33</f>
        <v>162.5</v>
      </c>
      <c r="T59" s="14">
        <f>94+12.9</f>
        <v>106.9</v>
      </c>
      <c r="U59" s="14">
        <f>72.7+37.7</f>
        <v>110.4</v>
      </c>
      <c r="V59" s="14">
        <f>18.7+79.6</f>
        <v>98.3</v>
      </c>
      <c r="W59" s="14">
        <v>32.4</v>
      </c>
      <c r="X59" s="14">
        <v>36.7</v>
      </c>
      <c r="Y59" s="14">
        <v>48.3</v>
      </c>
      <c r="Z59" s="14">
        <v>13.6</v>
      </c>
      <c r="AA59" s="14">
        <v>33.9</v>
      </c>
      <c r="AB59" s="14">
        <v>15.3</v>
      </c>
      <c r="AC59" s="14">
        <v>83</v>
      </c>
      <c r="AD59" s="16"/>
      <c r="AE59" s="16"/>
      <c r="AF59" s="16"/>
      <c r="AG59" s="16"/>
      <c r="AH59" s="16"/>
      <c r="AI59" s="16"/>
      <c r="AJ59" s="16"/>
      <c r="AK59" s="9">
        <v>18.6</v>
      </c>
      <c r="AL59" s="21">
        <f t="shared" si="46"/>
        <v>3120.2245438952127</v>
      </c>
      <c r="AM59" s="27" t="str">
        <f t="shared" si="47"/>
        <v>ND</v>
      </c>
      <c r="AN59" s="27">
        <f t="shared" si="48"/>
        <v>2388.897551847809</v>
      </c>
      <c r="AO59" s="27" t="str">
        <f t="shared" si="49"/>
        <v>ND</v>
      </c>
      <c r="AP59" s="27">
        <f t="shared" si="50"/>
        <v>112.27194760642443</v>
      </c>
      <c r="AQ59" s="27">
        <f t="shared" si="51"/>
        <v>9.35599563386867</v>
      </c>
      <c r="AR59" s="27">
        <f t="shared" si="52"/>
        <v>26.508654295961314</v>
      </c>
      <c r="AS59" s="27">
        <f t="shared" si="53"/>
        <v>383.5958209886169</v>
      </c>
      <c r="AT59" s="27">
        <f t="shared" si="54"/>
        <v>3259.0051457975987</v>
      </c>
      <c r="AU59" s="27">
        <f t="shared" si="55"/>
        <v>294.71386246686416</v>
      </c>
      <c r="AV59" s="27">
        <f t="shared" si="56"/>
        <v>34654.60782784968</v>
      </c>
      <c r="AW59" s="27">
        <f t="shared" si="57"/>
        <v>927.8029003586463</v>
      </c>
      <c r="AX59" s="27">
        <f t="shared" si="58"/>
        <v>734.4456572586932</v>
      </c>
      <c r="AY59" s="27">
        <f t="shared" si="59"/>
        <v>3807.8902229845626</v>
      </c>
      <c r="AZ59" s="27">
        <f t="shared" si="60"/>
        <v>1316.0767191641976</v>
      </c>
      <c r="BA59" s="27">
        <f t="shared" si="61"/>
        <v>87.32262591610787</v>
      </c>
      <c r="BB59" s="27">
        <f t="shared" si="62"/>
        <v>33438.32839544675</v>
      </c>
      <c r="BC59" s="27">
        <f t="shared" si="63"/>
        <v>2243.879619522844</v>
      </c>
      <c r="BD59" s="27">
        <f t="shared" si="64"/>
        <v>1376.8906907843443</v>
      </c>
      <c r="BE59" s="27">
        <f t="shared" si="65"/>
        <v>1431.4673319819117</v>
      </c>
      <c r="BF59" s="27">
        <f t="shared" si="66"/>
        <v>1242.7880866988926</v>
      </c>
      <c r="BG59" s="27">
        <f t="shared" si="67"/>
        <v>215.18789957898014</v>
      </c>
      <c r="BH59" s="27">
        <f t="shared" si="68"/>
        <v>282.2392016217059</v>
      </c>
      <c r="BI59" s="27">
        <f t="shared" si="69"/>
        <v>463.12178387650073</v>
      </c>
      <c r="BJ59" s="27" t="str">
        <f t="shared" si="70"/>
        <v>ND</v>
      </c>
      <c r="BK59" s="27">
        <f t="shared" si="71"/>
        <v>238.5778886636519</v>
      </c>
      <c r="BL59" s="27" t="str">
        <f t="shared" si="72"/>
        <v>ND</v>
      </c>
      <c r="BM59" s="27">
        <f t="shared" si="73"/>
        <v>1004.2101980352409</v>
      </c>
      <c r="BN59" s="16"/>
      <c r="BT59" s="3"/>
      <c r="BU59" s="34">
        <f t="shared" si="74"/>
        <v>53.342301502678865</v>
      </c>
      <c r="BV59" s="10"/>
    </row>
    <row r="60" spans="1:74" ht="15">
      <c r="A60" s="5" t="s">
        <v>18</v>
      </c>
      <c r="B60" s="9">
        <f>240.5+43.5+60.9+59</f>
        <v>403.9</v>
      </c>
      <c r="C60" s="16"/>
      <c r="D60" s="14">
        <v>294.4</v>
      </c>
      <c r="E60" s="16"/>
      <c r="F60" s="14">
        <v>60.7</v>
      </c>
      <c r="G60" s="14">
        <v>40.1</v>
      </c>
      <c r="H60" s="14">
        <v>40.3</v>
      </c>
      <c r="I60" s="14">
        <v>75.5</v>
      </c>
      <c r="J60" s="14">
        <f>19.4+125.3+276.9</f>
        <v>421.59999999999997</v>
      </c>
      <c r="K60" s="14">
        <v>49</v>
      </c>
      <c r="L60" s="14">
        <f>4924.7+151.3+60.9</f>
        <v>5136.9</v>
      </c>
      <c r="M60" s="14">
        <f>54.6+18</f>
        <v>72.6</v>
      </c>
      <c r="N60" s="14">
        <v>134.4</v>
      </c>
      <c r="O60" s="14">
        <f>131.4+115.7+350.8</f>
        <v>597.9000000000001</v>
      </c>
      <c r="P60" s="14">
        <v>185</v>
      </c>
      <c r="Q60" s="14">
        <v>72.3</v>
      </c>
      <c r="R60" s="14">
        <f>48.3+43.1+4769.4</f>
        <v>4860.799999999999</v>
      </c>
      <c r="S60" s="14">
        <f>283.6+72.6</f>
        <v>356.20000000000005</v>
      </c>
      <c r="T60" s="14">
        <f>216.5+24.1</f>
        <v>240.6</v>
      </c>
      <c r="U60" s="14">
        <f>164.3+56.5</f>
        <v>220.8</v>
      </c>
      <c r="V60" s="14">
        <f>32.2+192.8</f>
        <v>225</v>
      </c>
      <c r="W60" s="14">
        <v>65.6</v>
      </c>
      <c r="X60" s="14">
        <v>93.7</v>
      </c>
      <c r="Y60" s="14">
        <v>83.2</v>
      </c>
      <c r="Z60" s="16"/>
      <c r="AA60" s="14">
        <v>50.6</v>
      </c>
      <c r="AB60" s="14">
        <v>46.9</v>
      </c>
      <c r="AC60" s="14">
        <v>191.3</v>
      </c>
      <c r="AD60" s="16"/>
      <c r="AE60" s="16"/>
      <c r="AF60" s="16"/>
      <c r="AG60" s="16"/>
      <c r="AH60" s="16"/>
      <c r="AI60" s="16"/>
      <c r="AJ60" s="16"/>
      <c r="AK60" s="9">
        <v>50.6</v>
      </c>
      <c r="AL60" s="21">
        <f t="shared" si="46"/>
        <v>5509.1220957430205</v>
      </c>
      <c r="AM60" s="27" t="str">
        <f t="shared" si="47"/>
        <v>ND</v>
      </c>
      <c r="AN60" s="27">
        <f t="shared" si="48"/>
        <v>3801.6528925619828</v>
      </c>
      <c r="AO60" s="27" t="str">
        <f t="shared" si="49"/>
        <v>ND</v>
      </c>
      <c r="AP60" s="27">
        <f t="shared" si="50"/>
        <v>157.4925931701232</v>
      </c>
      <c r="AQ60" s="27" t="str">
        <f t="shared" si="51"/>
        <v>ND</v>
      </c>
      <c r="AR60" s="27" t="str">
        <f t="shared" si="52"/>
        <v>ND</v>
      </c>
      <c r="AS60" s="27">
        <f t="shared" si="53"/>
        <v>388.2738188055512</v>
      </c>
      <c r="AT60" s="27">
        <f t="shared" si="54"/>
        <v>5785.1239669421475</v>
      </c>
      <c r="AU60" s="27" t="str">
        <f t="shared" si="55"/>
        <v>ND</v>
      </c>
      <c r="AV60" s="27">
        <f t="shared" si="56"/>
        <v>79312.33432091062</v>
      </c>
      <c r="AW60" s="27">
        <f t="shared" si="57"/>
        <v>343.05317324185233</v>
      </c>
      <c r="AX60" s="27">
        <f t="shared" si="58"/>
        <v>1306.720723530329</v>
      </c>
      <c r="AY60" s="27">
        <f t="shared" si="59"/>
        <v>8534.227350693904</v>
      </c>
      <c r="AZ60" s="27">
        <f t="shared" si="60"/>
        <v>2095.7430219865896</v>
      </c>
      <c r="BA60" s="27">
        <f t="shared" si="61"/>
        <v>338.37517542491804</v>
      </c>
      <c r="BB60" s="27">
        <f t="shared" si="62"/>
        <v>75007.01699672538</v>
      </c>
      <c r="BC60" s="27">
        <f t="shared" si="63"/>
        <v>4765.32044285046</v>
      </c>
      <c r="BD60" s="27">
        <f t="shared" si="64"/>
        <v>2962.7319507250895</v>
      </c>
      <c r="BE60" s="27">
        <f t="shared" si="65"/>
        <v>2653.9840948074225</v>
      </c>
      <c r="BF60" s="27">
        <f t="shared" si="66"/>
        <v>2719.476064244503</v>
      </c>
      <c r="BG60" s="27">
        <f t="shared" si="67"/>
        <v>233.89989084671748</v>
      </c>
      <c r="BH60" s="27">
        <f t="shared" si="68"/>
        <v>672.0723530329019</v>
      </c>
      <c r="BI60" s="27">
        <f t="shared" si="69"/>
        <v>508.34242944019957</v>
      </c>
      <c r="BJ60" s="27" t="str">
        <f t="shared" si="70"/>
        <v>ND</v>
      </c>
      <c r="BK60" s="27" t="str">
        <f t="shared" si="71"/>
        <v>ND</v>
      </c>
      <c r="BL60" s="27" t="str">
        <f t="shared" si="72"/>
        <v>ND</v>
      </c>
      <c r="BM60" s="27">
        <f t="shared" si="73"/>
        <v>2193.980976142211</v>
      </c>
      <c r="BN60" s="16"/>
      <c r="BT60" s="3"/>
      <c r="BU60" s="34">
        <f t="shared" si="74"/>
        <v>109.57709304278772</v>
      </c>
      <c r="BV60" s="10"/>
    </row>
    <row r="61" spans="1:74" ht="15">
      <c r="A61" s="5" t="s">
        <v>19</v>
      </c>
      <c r="B61" s="10"/>
      <c r="C61" s="16"/>
      <c r="D61" s="16"/>
      <c r="E61" s="16"/>
      <c r="F61" s="16"/>
      <c r="G61" s="16"/>
      <c r="H61" s="16"/>
      <c r="I61" s="16"/>
      <c r="J61" s="14">
        <v>101</v>
      </c>
      <c r="K61" s="16"/>
      <c r="L61" s="14">
        <v>2055.2</v>
      </c>
      <c r="M61" s="16"/>
      <c r="N61" s="16"/>
      <c r="O61" s="14">
        <v>172.3</v>
      </c>
      <c r="P61" s="14">
        <v>94</v>
      </c>
      <c r="Q61" s="16"/>
      <c r="R61" s="14">
        <v>2155.1</v>
      </c>
      <c r="S61" s="14">
        <v>64.9</v>
      </c>
      <c r="T61" s="14">
        <v>60</v>
      </c>
      <c r="U61" s="14">
        <v>67.7</v>
      </c>
      <c r="V61" s="14">
        <v>76.3</v>
      </c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9">
        <v>0</v>
      </c>
      <c r="AL61" s="21" t="str">
        <f t="shared" si="46"/>
        <v>ND</v>
      </c>
      <c r="AM61" s="27" t="str">
        <f t="shared" si="47"/>
        <v>ND</v>
      </c>
      <c r="AN61" s="27" t="str">
        <f t="shared" si="48"/>
        <v>ND</v>
      </c>
      <c r="AO61" s="27" t="str">
        <f t="shared" si="49"/>
        <v>ND</v>
      </c>
      <c r="AP61" s="27" t="str">
        <f t="shared" si="50"/>
        <v>ND</v>
      </c>
      <c r="AQ61" s="27" t="str">
        <f t="shared" si="51"/>
        <v>ND</v>
      </c>
      <c r="AR61" s="27" t="str">
        <f t="shared" si="52"/>
        <v>ND</v>
      </c>
      <c r="AS61" s="27" t="str">
        <f t="shared" si="53"/>
        <v>ND</v>
      </c>
      <c r="AT61" s="27">
        <f t="shared" si="54"/>
        <v>1574.9259317012318</v>
      </c>
      <c r="AU61" s="27" t="str">
        <f t="shared" si="55"/>
        <v>ND</v>
      </c>
      <c r="AV61" s="27">
        <f t="shared" si="56"/>
        <v>32047.403711211595</v>
      </c>
      <c r="AW61" s="27" t="str">
        <f t="shared" si="57"/>
        <v>ND</v>
      </c>
      <c r="AX61" s="27" t="str">
        <f t="shared" si="58"/>
        <v>ND</v>
      </c>
      <c r="AY61" s="27">
        <f t="shared" si="59"/>
        <v>2686.730079525963</v>
      </c>
      <c r="AZ61" s="27">
        <f t="shared" si="60"/>
        <v>1465.7726493060968</v>
      </c>
      <c r="BA61" s="27" t="str">
        <f t="shared" si="61"/>
        <v>ND</v>
      </c>
      <c r="BB61" s="27">
        <f t="shared" si="62"/>
        <v>33605.176984250735</v>
      </c>
      <c r="BC61" s="27">
        <f t="shared" si="63"/>
        <v>1012.0068610634648</v>
      </c>
      <c r="BD61" s="27">
        <f t="shared" si="64"/>
        <v>935.5995633868703</v>
      </c>
      <c r="BE61" s="27">
        <f t="shared" si="65"/>
        <v>1055.6681740215188</v>
      </c>
      <c r="BF61" s="27">
        <f t="shared" si="66"/>
        <v>1189.77077810697</v>
      </c>
      <c r="BG61" s="27" t="str">
        <f t="shared" si="67"/>
        <v>ND</v>
      </c>
      <c r="BH61" s="27" t="str">
        <f t="shared" si="68"/>
        <v>ND</v>
      </c>
      <c r="BI61" s="27" t="str">
        <f t="shared" si="69"/>
        <v>ND</v>
      </c>
      <c r="BJ61" s="27" t="str">
        <f t="shared" si="70"/>
        <v>ND</v>
      </c>
      <c r="BK61" s="27" t="str">
        <f t="shared" si="71"/>
        <v>ND</v>
      </c>
      <c r="BL61" s="27" t="str">
        <f t="shared" si="72"/>
        <v>ND</v>
      </c>
      <c r="BM61" s="27" t="str">
        <f t="shared" si="73"/>
        <v>ND</v>
      </c>
      <c r="BN61" s="16"/>
      <c r="BT61" s="3"/>
      <c r="BU61" s="34">
        <f t="shared" si="74"/>
        <v>39.75286775715593</v>
      </c>
      <c r="BV61" s="10"/>
    </row>
    <row r="62" spans="1:74" ht="15">
      <c r="A62" s="5" t="s">
        <v>20</v>
      </c>
      <c r="B62" s="9">
        <f>15.4+0+13.6+7.1</f>
        <v>36.1</v>
      </c>
      <c r="C62" s="16"/>
      <c r="D62" s="14">
        <v>29.1</v>
      </c>
      <c r="E62" s="16"/>
      <c r="F62" s="14">
        <v>2.3</v>
      </c>
      <c r="G62" s="14">
        <v>6.2</v>
      </c>
      <c r="H62" s="16"/>
      <c r="I62" s="16"/>
      <c r="J62" s="14">
        <f>1.8+18.8</f>
        <v>20.6</v>
      </c>
      <c r="K62" s="14">
        <v>7.7</v>
      </c>
      <c r="L62" s="14">
        <f>371.9+13.5+4.5</f>
        <v>389.9</v>
      </c>
      <c r="M62" s="16"/>
      <c r="N62" s="14">
        <v>9.1</v>
      </c>
      <c r="O62" s="14">
        <f>11.97+7.04+32.43</f>
        <v>51.44</v>
      </c>
      <c r="P62" s="14">
        <v>16.9</v>
      </c>
      <c r="Q62" s="14">
        <v>4.4</v>
      </c>
      <c r="R62" s="14">
        <f>1.4+2+385</f>
        <v>388.4</v>
      </c>
      <c r="S62" s="14">
        <v>7</v>
      </c>
      <c r="T62" s="14">
        <f>14.8+1.1</f>
        <v>15.9</v>
      </c>
      <c r="U62" s="14">
        <f>11.5+0.7</f>
        <v>12.2</v>
      </c>
      <c r="V62" s="14">
        <f>1.1+13.4</f>
        <v>14.5</v>
      </c>
      <c r="W62" s="14">
        <v>4.8</v>
      </c>
      <c r="X62" s="14">
        <v>2.9</v>
      </c>
      <c r="Y62" s="14">
        <v>4.1</v>
      </c>
      <c r="Z62" s="14">
        <v>1.6</v>
      </c>
      <c r="AA62" s="14">
        <v>3.69</v>
      </c>
      <c r="AB62" s="16"/>
      <c r="AC62" s="14">
        <v>8.7</v>
      </c>
      <c r="AD62" s="16"/>
      <c r="AE62" s="16"/>
      <c r="AF62" s="16"/>
      <c r="AG62" s="16"/>
      <c r="AH62" s="16"/>
      <c r="AI62" s="16"/>
      <c r="AJ62" s="16"/>
      <c r="AK62" s="9">
        <v>0</v>
      </c>
      <c r="AL62" s="21">
        <f t="shared" si="46"/>
        <v>562.919070637767</v>
      </c>
      <c r="AM62" s="27" t="str">
        <f t="shared" si="47"/>
        <v>ND</v>
      </c>
      <c r="AN62" s="27">
        <f t="shared" si="48"/>
        <v>453.76578824263214</v>
      </c>
      <c r="AO62" s="27" t="str">
        <f t="shared" si="49"/>
        <v>ND</v>
      </c>
      <c r="AP62" s="27">
        <f t="shared" si="50"/>
        <v>35.86464992983003</v>
      </c>
      <c r="AQ62" s="27">
        <f t="shared" si="51"/>
        <v>96.6786215499766</v>
      </c>
      <c r="AR62" s="27" t="str">
        <f t="shared" si="52"/>
        <v>ND</v>
      </c>
      <c r="AS62" s="27" t="str">
        <f t="shared" si="53"/>
        <v>ND</v>
      </c>
      <c r="AT62" s="27">
        <f t="shared" si="54"/>
        <v>321.2225167628255</v>
      </c>
      <c r="AU62" s="27">
        <f t="shared" si="55"/>
        <v>120.06861063464837</v>
      </c>
      <c r="AV62" s="27">
        <f t="shared" si="56"/>
        <v>6079.837829409012</v>
      </c>
      <c r="AW62" s="27" t="str">
        <f t="shared" si="57"/>
        <v>ND</v>
      </c>
      <c r="AX62" s="27">
        <f t="shared" si="58"/>
        <v>141.89926711367534</v>
      </c>
      <c r="AY62" s="27">
        <f t="shared" si="59"/>
        <v>802.1206923436768</v>
      </c>
      <c r="AZ62" s="27">
        <f t="shared" si="60"/>
        <v>263.5272103539684</v>
      </c>
      <c r="BA62" s="27">
        <f t="shared" si="61"/>
        <v>68.61063464837049</v>
      </c>
      <c r="BB62" s="27">
        <f t="shared" si="62"/>
        <v>6056.44784032434</v>
      </c>
      <c r="BC62" s="27">
        <f t="shared" si="63"/>
        <v>109.15328239513487</v>
      </c>
      <c r="BD62" s="27">
        <f t="shared" si="64"/>
        <v>247.93388429752065</v>
      </c>
      <c r="BE62" s="27">
        <f t="shared" si="65"/>
        <v>190.23857788866363</v>
      </c>
      <c r="BF62" s="27">
        <f t="shared" si="66"/>
        <v>226.10322781849365</v>
      </c>
      <c r="BG62" s="27">
        <f t="shared" si="67"/>
        <v>74.84796507094963</v>
      </c>
      <c r="BH62" s="27">
        <f t="shared" si="68"/>
        <v>45.22064556369873</v>
      </c>
      <c r="BI62" s="27">
        <f t="shared" si="69"/>
        <v>63.932636831436135</v>
      </c>
      <c r="BJ62" s="27">
        <f t="shared" si="70"/>
        <v>24.949321690316545</v>
      </c>
      <c r="BK62" s="27">
        <f t="shared" si="71"/>
        <v>57.539373148292526</v>
      </c>
      <c r="BL62" s="27" t="str">
        <f t="shared" si="72"/>
        <v>ND</v>
      </c>
      <c r="BM62" s="27">
        <f t="shared" si="73"/>
        <v>135.66193669109617</v>
      </c>
      <c r="BN62" s="16"/>
      <c r="BT62" s="3"/>
      <c r="BU62" s="34">
        <f t="shared" si="74"/>
        <v>9.223354618123059</v>
      </c>
      <c r="BV62" s="10"/>
    </row>
    <row r="63" spans="1:74" ht="15">
      <c r="A63" s="5" t="s">
        <v>21</v>
      </c>
      <c r="B63" s="9">
        <f>3.1+0+0+0.6</f>
        <v>3.7</v>
      </c>
      <c r="C63" s="16"/>
      <c r="D63" s="14">
        <v>4.2</v>
      </c>
      <c r="E63" s="16"/>
      <c r="F63" s="16"/>
      <c r="G63" s="14">
        <v>0.6</v>
      </c>
      <c r="H63" s="16"/>
      <c r="I63" s="16"/>
      <c r="J63" s="14">
        <f>1+3.8</f>
        <v>4.8</v>
      </c>
      <c r="K63" s="14">
        <v>0.4</v>
      </c>
      <c r="L63" s="14">
        <f>66.4+2.9+0.6</f>
        <v>69.9</v>
      </c>
      <c r="M63" s="16"/>
      <c r="N63" s="14">
        <v>1.3</v>
      </c>
      <c r="O63" s="14">
        <f>2.34+1.56+6.18</f>
        <v>10.08</v>
      </c>
      <c r="P63" s="14">
        <v>3</v>
      </c>
      <c r="Q63" s="14">
        <v>0.6</v>
      </c>
      <c r="R63" s="14">
        <f>0.4+69</f>
        <v>69.4</v>
      </c>
      <c r="S63" s="14">
        <v>0.7</v>
      </c>
      <c r="T63" s="14">
        <v>2.3</v>
      </c>
      <c r="U63" s="14">
        <f>2.2+0.2</f>
        <v>2.4000000000000004</v>
      </c>
      <c r="V63" s="14">
        <v>2.5</v>
      </c>
      <c r="W63" s="16"/>
      <c r="X63" s="14">
        <v>0.8</v>
      </c>
      <c r="Y63" s="14">
        <v>1.1</v>
      </c>
      <c r="Z63" s="14">
        <v>0.3</v>
      </c>
      <c r="AA63" s="16"/>
      <c r="AB63" s="16"/>
      <c r="AC63" s="14">
        <v>1.9</v>
      </c>
      <c r="AD63" s="16"/>
      <c r="AE63" s="16"/>
      <c r="AF63" s="16"/>
      <c r="AG63" s="16"/>
      <c r="AH63" s="16"/>
      <c r="AI63" s="16"/>
      <c r="AJ63" s="16"/>
      <c r="AK63" s="9">
        <v>0</v>
      </c>
      <c r="AL63" s="21">
        <f t="shared" si="46"/>
        <v>57.69530640885701</v>
      </c>
      <c r="AM63" s="27" t="str">
        <f t="shared" si="47"/>
        <v>ND</v>
      </c>
      <c r="AN63" s="27">
        <f t="shared" si="48"/>
        <v>65.49196943708093</v>
      </c>
      <c r="AO63" s="27" t="str">
        <f t="shared" si="49"/>
        <v>ND</v>
      </c>
      <c r="AP63" s="27" t="str">
        <f t="shared" si="50"/>
        <v>ND</v>
      </c>
      <c r="AQ63" s="27">
        <f t="shared" si="51"/>
        <v>9.355995633868703</v>
      </c>
      <c r="AR63" s="27" t="str">
        <f t="shared" si="52"/>
        <v>ND</v>
      </c>
      <c r="AS63" s="27" t="str">
        <f t="shared" si="53"/>
        <v>ND</v>
      </c>
      <c r="AT63" s="27">
        <f t="shared" si="54"/>
        <v>74.84796507094963</v>
      </c>
      <c r="AU63" s="27">
        <f t="shared" si="55"/>
        <v>6.237330422579136</v>
      </c>
      <c r="AV63" s="27">
        <f t="shared" si="56"/>
        <v>1089.973491345704</v>
      </c>
      <c r="AW63" s="27" t="str">
        <f t="shared" si="57"/>
        <v>ND</v>
      </c>
      <c r="AX63" s="27">
        <f t="shared" si="58"/>
        <v>20.27132387338219</v>
      </c>
      <c r="AY63" s="27">
        <f t="shared" si="59"/>
        <v>157.1807266489942</v>
      </c>
      <c r="AZ63" s="27">
        <f t="shared" si="60"/>
        <v>46.779978169343515</v>
      </c>
      <c r="BA63" s="27">
        <f t="shared" si="61"/>
        <v>9.355995633868703</v>
      </c>
      <c r="BB63" s="27">
        <f t="shared" si="62"/>
        <v>1082.1768283174802</v>
      </c>
      <c r="BC63" s="27">
        <f t="shared" si="63"/>
        <v>10.915328239513487</v>
      </c>
      <c r="BD63" s="27">
        <f t="shared" si="64"/>
        <v>35.86464992983003</v>
      </c>
      <c r="BE63" s="27">
        <f t="shared" si="65"/>
        <v>37.42398253547482</v>
      </c>
      <c r="BF63" s="27">
        <f t="shared" si="66"/>
        <v>38.9833151411196</v>
      </c>
      <c r="BG63" s="27" t="str">
        <f t="shared" si="67"/>
        <v>ND</v>
      </c>
      <c r="BH63" s="27">
        <f t="shared" si="68"/>
        <v>12.474660845158272</v>
      </c>
      <c r="BI63" s="27">
        <f t="shared" si="69"/>
        <v>17.152658662092623</v>
      </c>
      <c r="BJ63" s="27">
        <f t="shared" si="70"/>
        <v>4.677997816934352</v>
      </c>
      <c r="BK63" s="27" t="str">
        <f t="shared" si="71"/>
        <v>ND</v>
      </c>
      <c r="BL63" s="27" t="str">
        <f t="shared" si="72"/>
        <v>ND</v>
      </c>
      <c r="BM63" s="27">
        <f t="shared" si="73"/>
        <v>29.627319507250892</v>
      </c>
      <c r="BN63" s="16"/>
      <c r="BT63" s="3"/>
      <c r="BU63" s="34">
        <f t="shared" si="74"/>
        <v>1.5677267519463063</v>
      </c>
      <c r="BV63" s="10"/>
    </row>
    <row r="64" spans="1:74" ht="15">
      <c r="A64" s="5" t="s">
        <v>22</v>
      </c>
      <c r="B64" s="10"/>
      <c r="C64" s="16"/>
      <c r="D64" s="16"/>
      <c r="E64" s="16"/>
      <c r="F64" s="16"/>
      <c r="G64" s="16"/>
      <c r="H64" s="16"/>
      <c r="I64" s="16"/>
      <c r="J64" s="16"/>
      <c r="K64" s="16"/>
      <c r="L64" s="14">
        <v>351.1</v>
      </c>
      <c r="M64" s="16"/>
      <c r="N64" s="16"/>
      <c r="O64" s="16"/>
      <c r="P64" s="16"/>
      <c r="Q64" s="16"/>
      <c r="R64" s="14">
        <v>307.7</v>
      </c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9">
        <v>0</v>
      </c>
      <c r="AL64" s="21" t="str">
        <f t="shared" si="46"/>
        <v>ND</v>
      </c>
      <c r="AM64" s="27" t="str">
        <f t="shared" si="47"/>
        <v>ND</v>
      </c>
      <c r="AN64" s="27" t="str">
        <f t="shared" si="48"/>
        <v>ND</v>
      </c>
      <c r="AO64" s="27" t="str">
        <f t="shared" si="49"/>
        <v>ND</v>
      </c>
      <c r="AP64" s="27" t="str">
        <f t="shared" si="50"/>
        <v>ND</v>
      </c>
      <c r="AQ64" s="27" t="str">
        <f t="shared" si="51"/>
        <v>ND</v>
      </c>
      <c r="AR64" s="27" t="str">
        <f t="shared" si="52"/>
        <v>ND</v>
      </c>
      <c r="AS64" s="27" t="str">
        <f t="shared" si="53"/>
        <v>ND</v>
      </c>
      <c r="AT64" s="27" t="str">
        <f t="shared" si="54"/>
        <v>ND</v>
      </c>
      <c r="AU64" s="27" t="str">
        <f t="shared" si="55"/>
        <v>ND</v>
      </c>
      <c r="AV64" s="27">
        <f t="shared" si="56"/>
        <v>5474.816778418836</v>
      </c>
      <c r="AW64" s="27" t="str">
        <f t="shared" si="57"/>
        <v>ND</v>
      </c>
      <c r="AX64" s="27" t="str">
        <f t="shared" si="58"/>
        <v>ND</v>
      </c>
      <c r="AY64" s="27" t="str">
        <f t="shared" si="59"/>
        <v>ND</v>
      </c>
      <c r="AZ64" s="27" t="str">
        <f t="shared" si="60"/>
        <v>ND</v>
      </c>
      <c r="BA64" s="27" t="str">
        <f t="shared" si="61"/>
        <v>ND</v>
      </c>
      <c r="BB64" s="27">
        <f t="shared" si="62"/>
        <v>4798.066427569</v>
      </c>
      <c r="BC64" s="27" t="str">
        <f t="shared" si="63"/>
        <v>ND</v>
      </c>
      <c r="BD64" s="27" t="str">
        <f t="shared" si="64"/>
        <v>ND</v>
      </c>
      <c r="BE64" s="27" t="str">
        <f t="shared" si="65"/>
        <v>ND</v>
      </c>
      <c r="BF64" s="27" t="str">
        <f t="shared" si="66"/>
        <v>ND</v>
      </c>
      <c r="BG64" s="27" t="str">
        <f t="shared" si="67"/>
        <v>ND</v>
      </c>
      <c r="BH64" s="27" t="str">
        <f t="shared" si="68"/>
        <v>ND</v>
      </c>
      <c r="BI64" s="27" t="str">
        <f t="shared" si="69"/>
        <v>ND</v>
      </c>
      <c r="BJ64" s="27" t="str">
        <f t="shared" si="70"/>
        <v>ND</v>
      </c>
      <c r="BK64" s="27" t="str">
        <f t="shared" si="71"/>
        <v>ND</v>
      </c>
      <c r="BL64" s="27" t="str">
        <f t="shared" si="72"/>
        <v>ND</v>
      </c>
      <c r="BM64" s="27" t="str">
        <f t="shared" si="73"/>
        <v>ND</v>
      </c>
      <c r="BN64" s="16"/>
      <c r="BT64" s="3"/>
      <c r="BU64" s="34">
        <f t="shared" si="74"/>
        <v>4.3821722526696805</v>
      </c>
      <c r="BV64" s="10"/>
    </row>
    <row r="65" spans="1:74" ht="15">
      <c r="A65" s="5" t="s">
        <v>23</v>
      </c>
      <c r="B65" s="9">
        <f>2.5+0+0+0</f>
        <v>2.5</v>
      </c>
      <c r="C65" s="16"/>
      <c r="D65" s="14">
        <v>2</v>
      </c>
      <c r="E65" s="16"/>
      <c r="F65" s="16"/>
      <c r="G65" s="16"/>
      <c r="H65" s="16"/>
      <c r="I65" s="16"/>
      <c r="J65" s="14">
        <v>2.1</v>
      </c>
      <c r="K65" s="16"/>
      <c r="L65" s="14">
        <f>67.8+1.3+0</f>
        <v>69.1</v>
      </c>
      <c r="M65" s="16"/>
      <c r="N65" s="16"/>
      <c r="O65" s="14">
        <v>2.36</v>
      </c>
      <c r="P65" s="14">
        <v>1.6</v>
      </c>
      <c r="Q65" s="16"/>
      <c r="R65" s="14">
        <v>47.3</v>
      </c>
      <c r="S65" s="16"/>
      <c r="T65" s="14">
        <v>1.1</v>
      </c>
      <c r="U65" s="14">
        <v>1.6</v>
      </c>
      <c r="V65" s="14">
        <v>1.6</v>
      </c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9">
        <v>0</v>
      </c>
      <c r="AL65" s="21">
        <f t="shared" si="46"/>
        <v>38.9833151411196</v>
      </c>
      <c r="AM65" s="27" t="str">
        <f t="shared" si="47"/>
        <v>ND</v>
      </c>
      <c r="AN65" s="27">
        <f t="shared" si="48"/>
        <v>31.18665211289568</v>
      </c>
      <c r="AO65" s="27" t="str">
        <f t="shared" si="49"/>
        <v>ND</v>
      </c>
      <c r="AP65" s="27" t="str">
        <f t="shared" si="50"/>
        <v>ND</v>
      </c>
      <c r="AQ65" s="27" t="str">
        <f t="shared" si="51"/>
        <v>ND</v>
      </c>
      <c r="AR65" s="27" t="str">
        <f t="shared" si="52"/>
        <v>ND</v>
      </c>
      <c r="AS65" s="27" t="str">
        <f t="shared" si="53"/>
        <v>ND</v>
      </c>
      <c r="AT65" s="27">
        <f t="shared" si="54"/>
        <v>32.74598471854046</v>
      </c>
      <c r="AU65" s="27" t="str">
        <f t="shared" si="55"/>
        <v>ND</v>
      </c>
      <c r="AV65" s="27">
        <f t="shared" si="56"/>
        <v>1077.4988305005456</v>
      </c>
      <c r="AW65" s="27" t="str">
        <f t="shared" si="57"/>
        <v>ND</v>
      </c>
      <c r="AX65" s="27" t="str">
        <f t="shared" si="58"/>
        <v>ND</v>
      </c>
      <c r="AY65" s="27">
        <f t="shared" si="59"/>
        <v>36.800249493216896</v>
      </c>
      <c r="AZ65" s="27">
        <f t="shared" si="60"/>
        <v>24.949321690316545</v>
      </c>
      <c r="BA65" s="27" t="str">
        <f t="shared" si="61"/>
        <v>ND</v>
      </c>
      <c r="BB65" s="27">
        <f t="shared" si="62"/>
        <v>737.5643224699827</v>
      </c>
      <c r="BC65" s="27" t="str">
        <f t="shared" si="63"/>
        <v>ND</v>
      </c>
      <c r="BD65" s="27">
        <f t="shared" si="64"/>
        <v>17.152658662092623</v>
      </c>
      <c r="BE65" s="27">
        <f t="shared" si="65"/>
        <v>24.949321690316545</v>
      </c>
      <c r="BF65" s="27">
        <f t="shared" si="66"/>
        <v>24.949321690316545</v>
      </c>
      <c r="BG65" s="27" t="str">
        <f t="shared" si="67"/>
        <v>ND</v>
      </c>
      <c r="BH65" s="27" t="str">
        <f t="shared" si="68"/>
        <v>ND</v>
      </c>
      <c r="BI65" s="27" t="str">
        <f t="shared" si="69"/>
        <v>ND</v>
      </c>
      <c r="BJ65" s="27" t="str">
        <f t="shared" si="70"/>
        <v>ND</v>
      </c>
      <c r="BK65" s="27" t="str">
        <f t="shared" si="71"/>
        <v>ND</v>
      </c>
      <c r="BL65" s="27" t="str">
        <f t="shared" si="72"/>
        <v>ND</v>
      </c>
      <c r="BM65" s="27" t="str">
        <f t="shared" si="73"/>
        <v>ND</v>
      </c>
      <c r="BN65" s="16"/>
      <c r="BT65" s="3"/>
      <c r="BU65" s="34">
        <f t="shared" si="74"/>
        <v>0.8852643068766567</v>
      </c>
      <c r="BV65" s="10"/>
    </row>
    <row r="66" spans="1:74" ht="15">
      <c r="A66" s="5" t="s">
        <v>24</v>
      </c>
      <c r="B66" s="10"/>
      <c r="C66" s="16"/>
      <c r="D66" s="14">
        <v>3.9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9">
        <v>0</v>
      </c>
      <c r="AL66" s="21" t="str">
        <f t="shared" si="46"/>
        <v>ND</v>
      </c>
      <c r="AM66" s="27" t="str">
        <f t="shared" si="47"/>
        <v>ND</v>
      </c>
      <c r="AN66" s="27">
        <f t="shared" si="48"/>
        <v>60.81397162014657</v>
      </c>
      <c r="AO66" s="27" t="str">
        <f t="shared" si="49"/>
        <v>ND</v>
      </c>
      <c r="AP66" s="27" t="str">
        <f t="shared" si="50"/>
        <v>ND</v>
      </c>
      <c r="AQ66" s="27" t="str">
        <f t="shared" si="51"/>
        <v>ND</v>
      </c>
      <c r="AR66" s="27" t="str">
        <f t="shared" si="52"/>
        <v>ND</v>
      </c>
      <c r="AS66" s="27" t="str">
        <f t="shared" si="53"/>
        <v>ND</v>
      </c>
      <c r="AT66" s="27" t="str">
        <f t="shared" si="54"/>
        <v>ND</v>
      </c>
      <c r="AU66" s="27" t="str">
        <f t="shared" si="55"/>
        <v>ND</v>
      </c>
      <c r="AV66" s="27" t="str">
        <f t="shared" si="56"/>
        <v>ND</v>
      </c>
      <c r="AW66" s="27" t="str">
        <f t="shared" si="57"/>
        <v>ND</v>
      </c>
      <c r="AX66" s="27" t="str">
        <f t="shared" si="58"/>
        <v>ND</v>
      </c>
      <c r="AY66" s="27" t="str">
        <f t="shared" si="59"/>
        <v>ND</v>
      </c>
      <c r="AZ66" s="27" t="str">
        <f t="shared" si="60"/>
        <v>ND</v>
      </c>
      <c r="BA66" s="27" t="str">
        <f t="shared" si="61"/>
        <v>ND</v>
      </c>
      <c r="BB66" s="27" t="str">
        <f t="shared" si="62"/>
        <v>ND</v>
      </c>
      <c r="BC66" s="27" t="str">
        <f t="shared" si="63"/>
        <v>ND</v>
      </c>
      <c r="BD66" s="27" t="str">
        <f t="shared" si="64"/>
        <v>ND</v>
      </c>
      <c r="BE66" s="27" t="str">
        <f t="shared" si="65"/>
        <v>ND</v>
      </c>
      <c r="BF66" s="27" t="str">
        <f t="shared" si="66"/>
        <v>ND</v>
      </c>
      <c r="BG66" s="27" t="str">
        <f t="shared" si="67"/>
        <v>ND</v>
      </c>
      <c r="BH66" s="27" t="str">
        <f t="shared" si="68"/>
        <v>ND</v>
      </c>
      <c r="BI66" s="27" t="str">
        <f t="shared" si="69"/>
        <v>ND</v>
      </c>
      <c r="BJ66" s="27" t="str">
        <f t="shared" si="70"/>
        <v>ND</v>
      </c>
      <c r="BK66" s="27" t="str">
        <f t="shared" si="71"/>
        <v>ND</v>
      </c>
      <c r="BL66" s="27" t="str">
        <f t="shared" si="72"/>
        <v>ND</v>
      </c>
      <c r="BM66" s="27" t="str">
        <f t="shared" si="73"/>
        <v>ND</v>
      </c>
      <c r="BN66" s="16"/>
      <c r="BT66" s="3"/>
      <c r="BU66" s="34">
        <f t="shared" si="74"/>
        <v>0.055542644736469776</v>
      </c>
      <c r="BV66" s="10"/>
    </row>
    <row r="67" spans="1:74" ht="15">
      <c r="A67" s="5" t="s">
        <v>25</v>
      </c>
      <c r="B67" s="9">
        <f>6+0.8+1.2+1.4</f>
        <v>9.4</v>
      </c>
      <c r="C67" s="16"/>
      <c r="D67" s="14">
        <v>7.4</v>
      </c>
      <c r="E67" s="16"/>
      <c r="F67" s="14">
        <v>1.3</v>
      </c>
      <c r="G67" s="14">
        <v>1.1</v>
      </c>
      <c r="H67" s="14">
        <v>1.5</v>
      </c>
      <c r="I67" s="14">
        <v>1</v>
      </c>
      <c r="J67" s="14">
        <f>1.3+1.1+5.8</f>
        <v>8.2</v>
      </c>
      <c r="K67" s="14">
        <v>1.2</v>
      </c>
      <c r="L67" s="14">
        <f>150.9+2.2+1.9</f>
        <v>155</v>
      </c>
      <c r="M67" s="14">
        <f>3.57+3.28</f>
        <v>6.85</v>
      </c>
      <c r="N67" s="14">
        <v>2.9</v>
      </c>
      <c r="O67" s="14">
        <f>5.55+10.59</f>
        <v>16.14</v>
      </c>
      <c r="P67" s="14">
        <v>7.3</v>
      </c>
      <c r="Q67" s="14">
        <v>2.5</v>
      </c>
      <c r="R67" s="14">
        <f>0.8+0.5+123.3</f>
        <v>124.6</v>
      </c>
      <c r="S67" s="14">
        <f>1+1.9+1.2</f>
        <v>4.1</v>
      </c>
      <c r="T67" s="14">
        <f>3.8+0.7</f>
        <v>4.5</v>
      </c>
      <c r="U67" s="14">
        <f>2.8+0.8</f>
        <v>3.5999999999999996</v>
      </c>
      <c r="V67" s="14">
        <f>1+6.2</f>
        <v>7.2</v>
      </c>
      <c r="W67" s="16"/>
      <c r="X67" s="14">
        <v>1.3</v>
      </c>
      <c r="Y67" s="14">
        <v>3</v>
      </c>
      <c r="Z67" s="14">
        <v>2</v>
      </c>
      <c r="AA67" s="16"/>
      <c r="AB67" s="14">
        <v>0.7</v>
      </c>
      <c r="AC67" s="14">
        <v>2.8</v>
      </c>
      <c r="AD67" s="16"/>
      <c r="AE67" s="16"/>
      <c r="AF67" s="16"/>
      <c r="AG67" s="16"/>
      <c r="AH67" s="16"/>
      <c r="AI67" s="16"/>
      <c r="AJ67" s="16"/>
      <c r="AK67" s="9">
        <v>1.5</v>
      </c>
      <c r="AL67" s="21">
        <f t="shared" si="46"/>
        <v>123.18727584593793</v>
      </c>
      <c r="AM67" s="27" t="str">
        <f t="shared" si="47"/>
        <v>ND</v>
      </c>
      <c r="AN67" s="27">
        <f t="shared" si="48"/>
        <v>92.00062373304226</v>
      </c>
      <c r="AO67" s="27" t="str">
        <f t="shared" si="49"/>
        <v>ND</v>
      </c>
      <c r="AP67" s="27" t="str">
        <f t="shared" si="50"/>
        <v>ND</v>
      </c>
      <c r="AQ67" s="27" t="str">
        <f t="shared" si="51"/>
        <v>ND</v>
      </c>
      <c r="AR67" s="27" t="str">
        <f t="shared" si="52"/>
        <v>ND</v>
      </c>
      <c r="AS67" s="27" t="str">
        <f t="shared" si="53"/>
        <v>ND</v>
      </c>
      <c r="AT67" s="27">
        <f t="shared" si="54"/>
        <v>104.47528457820052</v>
      </c>
      <c r="AU67" s="27" t="str">
        <f t="shared" si="55"/>
        <v>ND</v>
      </c>
      <c r="AV67" s="27">
        <f t="shared" si="56"/>
        <v>2393.5755496647434</v>
      </c>
      <c r="AW67" s="27">
        <f t="shared" si="57"/>
        <v>83.42429440199594</v>
      </c>
      <c r="AX67" s="27">
        <f t="shared" si="58"/>
        <v>21.830656479026974</v>
      </c>
      <c r="AY67" s="27">
        <f t="shared" si="59"/>
        <v>228.28629346639636</v>
      </c>
      <c r="AZ67" s="27">
        <f t="shared" si="60"/>
        <v>90.44129112739746</v>
      </c>
      <c r="BA67" s="27">
        <f t="shared" si="61"/>
        <v>15.59332605644784</v>
      </c>
      <c r="BB67" s="27">
        <f t="shared" si="62"/>
        <v>1919.5384375487288</v>
      </c>
      <c r="BC67" s="27">
        <f t="shared" si="63"/>
        <v>40.54264774676437</v>
      </c>
      <c r="BD67" s="27">
        <f t="shared" si="64"/>
        <v>46.779978169343515</v>
      </c>
      <c r="BE67" s="27">
        <f t="shared" si="65"/>
        <v>32.745984718540456</v>
      </c>
      <c r="BF67" s="27">
        <f t="shared" si="66"/>
        <v>88.88195852175268</v>
      </c>
      <c r="BG67" s="27" t="str">
        <f t="shared" si="67"/>
        <v>ND</v>
      </c>
      <c r="BH67" s="27" t="str">
        <f t="shared" si="68"/>
        <v>ND</v>
      </c>
      <c r="BI67" s="27">
        <f t="shared" si="69"/>
        <v>23.389989084671758</v>
      </c>
      <c r="BJ67" s="27">
        <f t="shared" si="70"/>
        <v>7.79666302822392</v>
      </c>
      <c r="BK67" s="27" t="str">
        <f t="shared" si="71"/>
        <v>ND</v>
      </c>
      <c r="BL67" s="27" t="str">
        <f t="shared" si="72"/>
        <v>ND</v>
      </c>
      <c r="BM67" s="27">
        <f t="shared" si="73"/>
        <v>20.271323873382187</v>
      </c>
      <c r="BN67" s="16"/>
      <c r="BT67" s="3"/>
      <c r="BU67" s="34">
        <f t="shared" si="74"/>
        <v>2.684418745224919</v>
      </c>
      <c r="BV67" s="10"/>
    </row>
    <row r="68" spans="1:74" ht="15">
      <c r="A68" s="5" t="s">
        <v>26</v>
      </c>
      <c r="B68" s="9">
        <f>3.4+0+0+0</f>
        <v>3.4</v>
      </c>
      <c r="C68" s="16"/>
      <c r="D68" s="14">
        <v>3.4</v>
      </c>
      <c r="E68" s="16"/>
      <c r="F68" s="14">
        <v>0.6</v>
      </c>
      <c r="G68" s="14">
        <v>0.5</v>
      </c>
      <c r="H68" s="14">
        <v>1</v>
      </c>
      <c r="I68" s="16"/>
      <c r="J68" s="14">
        <v>4.4</v>
      </c>
      <c r="K68" s="16"/>
      <c r="L68" s="14">
        <f>222.1+6.4+0</f>
        <v>228.5</v>
      </c>
      <c r="M68" s="14">
        <f>3.1+2.1</f>
        <v>5.2</v>
      </c>
      <c r="N68" s="14">
        <v>2.3</v>
      </c>
      <c r="O68" s="14">
        <f>3+14.9</f>
        <v>17.9</v>
      </c>
      <c r="P68" s="14">
        <v>6.2</v>
      </c>
      <c r="Q68" s="14">
        <v>2.8</v>
      </c>
      <c r="R68" s="14">
        <f>2.7+1.7+119.7</f>
        <v>124.10000000000001</v>
      </c>
      <c r="S68" s="14">
        <v>1.4</v>
      </c>
      <c r="T68" s="14">
        <v>1.8</v>
      </c>
      <c r="U68" s="14">
        <v>2.2</v>
      </c>
      <c r="V68" s="14">
        <v>4.7</v>
      </c>
      <c r="W68" s="16"/>
      <c r="X68" s="16"/>
      <c r="Y68" s="14">
        <v>1.4</v>
      </c>
      <c r="Z68" s="16"/>
      <c r="AA68" s="16"/>
      <c r="AB68" s="16"/>
      <c r="AC68" s="14">
        <v>2.5</v>
      </c>
      <c r="AD68" s="16"/>
      <c r="AE68" s="16"/>
      <c r="AF68" s="16"/>
      <c r="AG68" s="16"/>
      <c r="AH68" s="16"/>
      <c r="AI68" s="16"/>
      <c r="AJ68" s="16"/>
      <c r="AK68" s="9">
        <v>0</v>
      </c>
      <c r="AL68" s="21">
        <f t="shared" si="46"/>
        <v>53.01730859192265</v>
      </c>
      <c r="AM68" s="27" t="str">
        <f t="shared" si="47"/>
        <v>ND</v>
      </c>
      <c r="AN68" s="27">
        <f t="shared" si="48"/>
        <v>53.01730859192265</v>
      </c>
      <c r="AO68" s="27" t="str">
        <f t="shared" si="49"/>
        <v>ND</v>
      </c>
      <c r="AP68" s="27">
        <f t="shared" si="50"/>
        <v>9.355995633868703</v>
      </c>
      <c r="AQ68" s="27">
        <f t="shared" si="51"/>
        <v>7.79666302822392</v>
      </c>
      <c r="AR68" s="27">
        <f t="shared" si="52"/>
        <v>15.59332605644784</v>
      </c>
      <c r="AS68" s="27" t="str">
        <f t="shared" si="53"/>
        <v>ND</v>
      </c>
      <c r="AT68" s="27">
        <f t="shared" si="54"/>
        <v>68.61063464837049</v>
      </c>
      <c r="AU68" s="27" t="str">
        <f t="shared" si="55"/>
        <v>ND</v>
      </c>
      <c r="AV68" s="27">
        <f t="shared" si="56"/>
        <v>3563.075003898331</v>
      </c>
      <c r="AW68" s="27">
        <f t="shared" si="57"/>
        <v>81.08529549352876</v>
      </c>
      <c r="AX68" s="27">
        <f t="shared" si="58"/>
        <v>35.86464992983003</v>
      </c>
      <c r="AY68" s="27">
        <f t="shared" si="59"/>
        <v>279.12053641041626</v>
      </c>
      <c r="AZ68" s="27">
        <f t="shared" si="60"/>
        <v>96.6786215499766</v>
      </c>
      <c r="BA68" s="27">
        <f t="shared" si="61"/>
        <v>43.66131295805395</v>
      </c>
      <c r="BB68" s="27">
        <f t="shared" si="62"/>
        <v>1935.131763605177</v>
      </c>
      <c r="BC68" s="27">
        <f t="shared" si="63"/>
        <v>21.830656479026974</v>
      </c>
      <c r="BD68" s="27">
        <f t="shared" si="64"/>
        <v>28.067986901606112</v>
      </c>
      <c r="BE68" s="27">
        <f t="shared" si="65"/>
        <v>34.305317324185246</v>
      </c>
      <c r="BF68" s="27">
        <f t="shared" si="66"/>
        <v>73.28863246530484</v>
      </c>
      <c r="BG68" s="27" t="str">
        <f t="shared" si="67"/>
        <v>ND</v>
      </c>
      <c r="BH68" s="27" t="str">
        <f t="shared" si="68"/>
        <v>ND</v>
      </c>
      <c r="BI68" s="27">
        <f t="shared" si="69"/>
        <v>21.830656479026974</v>
      </c>
      <c r="BJ68" s="27" t="str">
        <f t="shared" si="70"/>
        <v>ND</v>
      </c>
      <c r="BK68" s="27" t="str">
        <f t="shared" si="71"/>
        <v>ND</v>
      </c>
      <c r="BL68" s="27" t="str">
        <f t="shared" si="72"/>
        <v>ND</v>
      </c>
      <c r="BM68" s="27">
        <f t="shared" si="73"/>
        <v>38.9833151411196</v>
      </c>
      <c r="BN68" s="16"/>
      <c r="BT68" s="3"/>
      <c r="BU68" s="34">
        <f t="shared" si="74"/>
        <v>2.646108562060535</v>
      </c>
      <c r="BV68" s="10"/>
    </row>
    <row r="69" spans="1:74" ht="15">
      <c r="A69" s="5" t="s">
        <v>27</v>
      </c>
      <c r="B69" s="9">
        <f>4.1+0+0+1.2</f>
        <v>5.3</v>
      </c>
      <c r="C69" s="16"/>
      <c r="D69" s="14">
        <v>8.6</v>
      </c>
      <c r="E69" s="16"/>
      <c r="F69" s="14">
        <v>1.2</v>
      </c>
      <c r="G69" s="16"/>
      <c r="H69" s="16"/>
      <c r="I69" s="16"/>
      <c r="J69" s="14">
        <v>4.5</v>
      </c>
      <c r="K69" s="14">
        <v>0.9</v>
      </c>
      <c r="L69" s="14">
        <f>124.5+6.5+0</f>
        <v>131</v>
      </c>
      <c r="M69" s="14">
        <f>2.9+3.5+8.8+6.2</f>
        <v>21.400000000000002</v>
      </c>
      <c r="N69" s="14">
        <v>18.9</v>
      </c>
      <c r="O69" s="14">
        <f>2+13.7</f>
        <v>15.7</v>
      </c>
      <c r="P69" s="14">
        <v>5.8</v>
      </c>
      <c r="Q69" s="16"/>
      <c r="R69" s="14">
        <v>209.7</v>
      </c>
      <c r="S69" s="16"/>
      <c r="T69" s="14">
        <v>2.6</v>
      </c>
      <c r="U69" s="14">
        <v>4.8</v>
      </c>
      <c r="V69" s="14">
        <v>5</v>
      </c>
      <c r="W69" s="14">
        <v>2.9</v>
      </c>
      <c r="X69" s="16"/>
      <c r="Y69" s="14">
        <v>17.4</v>
      </c>
      <c r="Z69" s="14">
        <v>5.3</v>
      </c>
      <c r="AA69" s="14">
        <v>1.5</v>
      </c>
      <c r="AB69" s="16"/>
      <c r="AC69" s="14">
        <v>8.5</v>
      </c>
      <c r="AD69" s="16"/>
      <c r="AE69" s="16"/>
      <c r="AF69" s="16"/>
      <c r="AG69" s="16"/>
      <c r="AH69" s="16"/>
      <c r="AI69" s="16"/>
      <c r="AJ69" s="16"/>
      <c r="AK69" s="9">
        <v>0</v>
      </c>
      <c r="AL69" s="21">
        <f t="shared" si="46"/>
        <v>82.64462809917354</v>
      </c>
      <c r="AM69" s="27" t="str">
        <f t="shared" si="47"/>
        <v>ND</v>
      </c>
      <c r="AN69" s="27">
        <f t="shared" si="48"/>
        <v>134.10260408545142</v>
      </c>
      <c r="AO69" s="27" t="str">
        <f t="shared" si="49"/>
        <v>ND</v>
      </c>
      <c r="AP69" s="27">
        <f t="shared" si="50"/>
        <v>18.711991267737407</v>
      </c>
      <c r="AQ69" s="27" t="str">
        <f t="shared" si="51"/>
        <v>ND</v>
      </c>
      <c r="AR69" s="27" t="str">
        <f t="shared" si="52"/>
        <v>ND</v>
      </c>
      <c r="AS69" s="27" t="str">
        <f t="shared" si="53"/>
        <v>ND</v>
      </c>
      <c r="AT69" s="27">
        <f t="shared" si="54"/>
        <v>70.16996725401528</v>
      </c>
      <c r="AU69" s="27">
        <f t="shared" si="55"/>
        <v>14.033993450803056</v>
      </c>
      <c r="AV69" s="27">
        <f t="shared" si="56"/>
        <v>2042.7257133946669</v>
      </c>
      <c r="AW69" s="27">
        <f t="shared" si="57"/>
        <v>333.6971776079838</v>
      </c>
      <c r="AX69" s="27">
        <f t="shared" si="58"/>
        <v>294.71386246686416</v>
      </c>
      <c r="AY69" s="27">
        <f t="shared" si="59"/>
        <v>244.81521908623105</v>
      </c>
      <c r="AZ69" s="27">
        <f t="shared" si="60"/>
        <v>90.44129112739746</v>
      </c>
      <c r="BA69" s="27" t="str">
        <f t="shared" si="61"/>
        <v>ND</v>
      </c>
      <c r="BB69" s="27">
        <f t="shared" si="62"/>
        <v>3269.9204740371115</v>
      </c>
      <c r="BC69" s="27" t="str">
        <f t="shared" si="63"/>
        <v>ND</v>
      </c>
      <c r="BD69" s="27">
        <f t="shared" si="64"/>
        <v>40.54264774676438</v>
      </c>
      <c r="BE69" s="27">
        <f t="shared" si="65"/>
        <v>74.84796507094963</v>
      </c>
      <c r="BF69" s="27">
        <f t="shared" si="66"/>
        <v>77.9666302822392</v>
      </c>
      <c r="BG69" s="27">
        <f t="shared" si="67"/>
        <v>45.22064556369873</v>
      </c>
      <c r="BH69" s="27" t="str">
        <f t="shared" si="68"/>
        <v>ND</v>
      </c>
      <c r="BI69" s="27">
        <f t="shared" si="69"/>
        <v>271.32387338219235</v>
      </c>
      <c r="BJ69" s="27">
        <f t="shared" si="70"/>
        <v>82.64462809917354</v>
      </c>
      <c r="BK69" s="27">
        <f t="shared" si="71"/>
        <v>23.389989084671758</v>
      </c>
      <c r="BL69" s="27" t="str">
        <f t="shared" si="72"/>
        <v>ND</v>
      </c>
      <c r="BM69" s="27">
        <f t="shared" si="73"/>
        <v>132.54327147980663</v>
      </c>
      <c r="BN69" s="16"/>
      <c r="BT69" s="3"/>
      <c r="BU69" s="34">
        <f t="shared" si="74"/>
        <v>4.842179284717877</v>
      </c>
      <c r="BV69" s="10"/>
    </row>
    <row r="70" spans="1:74" ht="15">
      <c r="A70" s="5" t="s">
        <v>28</v>
      </c>
      <c r="B70" s="10"/>
      <c r="C70" s="16"/>
      <c r="D70" s="14">
        <v>11.9</v>
      </c>
      <c r="E70" s="16"/>
      <c r="F70" s="14">
        <v>41.5</v>
      </c>
      <c r="G70" s="14">
        <v>1</v>
      </c>
      <c r="H70" s="16"/>
      <c r="I70" s="16"/>
      <c r="J70" s="14">
        <v>4</v>
      </c>
      <c r="K70" s="16"/>
      <c r="L70" s="14">
        <v>12.8</v>
      </c>
      <c r="M70" s="16"/>
      <c r="N70" s="16"/>
      <c r="O70" s="16"/>
      <c r="P70" s="16"/>
      <c r="Q70" s="16"/>
      <c r="R70" s="16"/>
      <c r="S70" s="16"/>
      <c r="T70" s="14">
        <v>2</v>
      </c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9">
        <v>0.2</v>
      </c>
      <c r="AL70" s="21" t="str">
        <f t="shared" si="46"/>
        <v>ND</v>
      </c>
      <c r="AM70" s="27" t="str">
        <f t="shared" si="47"/>
        <v>ND</v>
      </c>
      <c r="AN70" s="27">
        <f t="shared" si="48"/>
        <v>182.44191486043974</v>
      </c>
      <c r="AO70" s="27" t="str">
        <f t="shared" si="49"/>
        <v>ND</v>
      </c>
      <c r="AP70" s="27">
        <f t="shared" si="50"/>
        <v>644.0043661312957</v>
      </c>
      <c r="AQ70" s="27">
        <f t="shared" si="51"/>
        <v>12.474660845158272</v>
      </c>
      <c r="AR70" s="27" t="str">
        <f t="shared" si="52"/>
        <v>ND</v>
      </c>
      <c r="AS70" s="27" t="str">
        <f t="shared" si="53"/>
        <v>ND</v>
      </c>
      <c r="AT70" s="27">
        <f t="shared" si="54"/>
        <v>59.254639014501784</v>
      </c>
      <c r="AU70" s="27" t="str">
        <f t="shared" si="55"/>
        <v>ND</v>
      </c>
      <c r="AV70" s="27">
        <f t="shared" si="56"/>
        <v>196.4759083112428</v>
      </c>
      <c r="AW70" s="27" t="str">
        <f t="shared" si="57"/>
        <v>ND</v>
      </c>
      <c r="AX70" s="27" t="str">
        <f t="shared" si="58"/>
        <v>ND</v>
      </c>
      <c r="AY70" s="27" t="str">
        <f t="shared" si="59"/>
        <v>ND</v>
      </c>
      <c r="AZ70" s="27" t="str">
        <f t="shared" si="60"/>
        <v>ND</v>
      </c>
      <c r="BA70" s="27" t="str">
        <f t="shared" si="61"/>
        <v>ND</v>
      </c>
      <c r="BB70" s="27" t="str">
        <f t="shared" si="62"/>
        <v>ND</v>
      </c>
      <c r="BC70" s="27" t="str">
        <f t="shared" si="63"/>
        <v>ND</v>
      </c>
      <c r="BD70" s="27">
        <f t="shared" si="64"/>
        <v>28.067986901606112</v>
      </c>
      <c r="BE70" s="27" t="str">
        <f t="shared" si="65"/>
        <v>ND</v>
      </c>
      <c r="BF70" s="27" t="str">
        <f t="shared" si="66"/>
        <v>ND</v>
      </c>
      <c r="BG70" s="27" t="str">
        <f t="shared" si="67"/>
        <v>ND</v>
      </c>
      <c r="BH70" s="27" t="str">
        <f t="shared" si="68"/>
        <v>ND</v>
      </c>
      <c r="BI70" s="27" t="str">
        <f t="shared" si="69"/>
        <v>ND</v>
      </c>
      <c r="BJ70" s="27" t="str">
        <f t="shared" si="70"/>
        <v>ND</v>
      </c>
      <c r="BK70" s="27" t="str">
        <f t="shared" si="71"/>
        <v>ND</v>
      </c>
      <c r="BL70" s="27" t="str">
        <f t="shared" si="72"/>
        <v>ND</v>
      </c>
      <c r="BM70" s="27" t="str">
        <f t="shared" si="73"/>
        <v>ND</v>
      </c>
      <c r="BN70" s="16"/>
      <c r="BT70" s="3"/>
      <c r="BU70" s="34">
        <f t="shared" si="74"/>
        <v>0.8459572044477704</v>
      </c>
      <c r="BV70" s="10"/>
    </row>
    <row r="71" spans="1:74" ht="15">
      <c r="A71" s="5" t="s">
        <v>29</v>
      </c>
      <c r="B71" s="9">
        <f>28.1+0+0+8.1</f>
        <v>36.2</v>
      </c>
      <c r="C71" s="16"/>
      <c r="D71" s="14">
        <v>35.6</v>
      </c>
      <c r="E71" s="16"/>
      <c r="F71" s="16"/>
      <c r="G71" s="16"/>
      <c r="H71" s="16"/>
      <c r="I71" s="16"/>
      <c r="J71" s="14">
        <f>2.9+29.5</f>
        <v>32.4</v>
      </c>
      <c r="K71" s="14">
        <v>2.4</v>
      </c>
      <c r="L71" s="14">
        <f>796.9+15.7+11.5</f>
        <v>824.1</v>
      </c>
      <c r="M71" s="14">
        <v>6.6</v>
      </c>
      <c r="N71" s="14">
        <v>11.5</v>
      </c>
      <c r="O71" s="14">
        <f>9.7+43.3</f>
        <v>53</v>
      </c>
      <c r="P71" s="14">
        <v>25</v>
      </c>
      <c r="Q71" s="14">
        <v>6.3</v>
      </c>
      <c r="R71" s="14">
        <f>3.5+609.6</f>
        <v>613.1</v>
      </c>
      <c r="S71" s="14">
        <v>6.3</v>
      </c>
      <c r="T71" s="14">
        <f>27.2+3</f>
        <v>30.2</v>
      </c>
      <c r="U71" s="14">
        <f>22.6+3.7</f>
        <v>26.3</v>
      </c>
      <c r="V71" s="14">
        <v>18.3</v>
      </c>
      <c r="W71" s="16"/>
      <c r="X71" s="14">
        <v>6.7</v>
      </c>
      <c r="Y71" s="14">
        <v>5.9</v>
      </c>
      <c r="Z71" s="16"/>
      <c r="AA71" s="14">
        <v>9.9</v>
      </c>
      <c r="AB71" s="16"/>
      <c r="AC71" s="14">
        <v>14.6</v>
      </c>
      <c r="AD71" s="16"/>
      <c r="AE71" s="16"/>
      <c r="AF71" s="16"/>
      <c r="AG71" s="16"/>
      <c r="AH71" s="16"/>
      <c r="AI71" s="16"/>
      <c r="AJ71" s="16"/>
      <c r="AK71" s="9">
        <v>0</v>
      </c>
      <c r="AL71" s="21">
        <f t="shared" si="46"/>
        <v>564.4784032434118</v>
      </c>
      <c r="AM71" s="27" t="str">
        <f t="shared" si="47"/>
        <v>ND</v>
      </c>
      <c r="AN71" s="27">
        <f t="shared" si="48"/>
        <v>555.1224076095431</v>
      </c>
      <c r="AO71" s="27" t="str">
        <f t="shared" si="49"/>
        <v>ND</v>
      </c>
      <c r="AP71" s="27" t="str">
        <f t="shared" si="50"/>
        <v>ND</v>
      </c>
      <c r="AQ71" s="27" t="str">
        <f t="shared" si="51"/>
        <v>ND</v>
      </c>
      <c r="AR71" s="27" t="str">
        <f t="shared" si="52"/>
        <v>ND</v>
      </c>
      <c r="AS71" s="27" t="str">
        <f t="shared" si="53"/>
        <v>ND</v>
      </c>
      <c r="AT71" s="27">
        <f t="shared" si="54"/>
        <v>505.22376422890994</v>
      </c>
      <c r="AU71" s="27">
        <f t="shared" si="55"/>
        <v>37.42398253547481</v>
      </c>
      <c r="AV71" s="27">
        <f t="shared" si="56"/>
        <v>12850.460003118664</v>
      </c>
      <c r="AW71" s="27">
        <f t="shared" si="57"/>
        <v>102.91595197255573</v>
      </c>
      <c r="AX71" s="27">
        <f t="shared" si="58"/>
        <v>179.32324964915014</v>
      </c>
      <c r="AY71" s="27">
        <f t="shared" si="59"/>
        <v>826.4462809917354</v>
      </c>
      <c r="AZ71" s="27">
        <f t="shared" si="60"/>
        <v>389.83315141119596</v>
      </c>
      <c r="BA71" s="27">
        <f t="shared" si="61"/>
        <v>98.23795415562138</v>
      </c>
      <c r="BB71" s="27">
        <f t="shared" si="62"/>
        <v>9560.268205208171</v>
      </c>
      <c r="BC71" s="27">
        <f t="shared" si="63"/>
        <v>98.23795415562138</v>
      </c>
      <c r="BD71" s="27">
        <f t="shared" si="64"/>
        <v>470.9184469047247</v>
      </c>
      <c r="BE71" s="27">
        <f t="shared" si="65"/>
        <v>410.10447528457814</v>
      </c>
      <c r="BF71" s="27">
        <f t="shared" si="66"/>
        <v>285.35786683299546</v>
      </c>
      <c r="BG71" s="27" t="str">
        <f t="shared" si="67"/>
        <v>ND</v>
      </c>
      <c r="BH71" s="27">
        <f t="shared" si="68"/>
        <v>104.47528457820053</v>
      </c>
      <c r="BI71" s="27">
        <f t="shared" si="69"/>
        <v>92.00062373304226</v>
      </c>
      <c r="BJ71" s="27" t="str">
        <f t="shared" si="70"/>
        <v>ND</v>
      </c>
      <c r="BK71" s="27">
        <f t="shared" si="71"/>
        <v>154.3739279588336</v>
      </c>
      <c r="BL71" s="27" t="str">
        <f t="shared" si="72"/>
        <v>ND</v>
      </c>
      <c r="BM71" s="27">
        <f t="shared" si="73"/>
        <v>227.66256042413843</v>
      </c>
      <c r="BN71" s="16"/>
      <c r="BT71" s="3"/>
      <c r="BU71" s="34">
        <f t="shared" si="74"/>
        <v>13.391474063000652</v>
      </c>
      <c r="BV71" s="10"/>
    </row>
    <row r="72" spans="1:74" ht="15">
      <c r="A72" s="5" t="s">
        <v>30</v>
      </c>
      <c r="B72" s="10"/>
      <c r="C72" s="16"/>
      <c r="D72" s="14">
        <v>18</v>
      </c>
      <c r="E72" s="16"/>
      <c r="F72" s="16"/>
      <c r="G72" s="16"/>
      <c r="H72" s="16"/>
      <c r="I72" s="16"/>
      <c r="J72" s="16"/>
      <c r="K72" s="16"/>
      <c r="L72" s="14">
        <v>242.7</v>
      </c>
      <c r="M72" s="16"/>
      <c r="N72" s="16"/>
      <c r="O72" s="16"/>
      <c r="P72" s="16"/>
      <c r="Q72" s="16"/>
      <c r="R72" s="14">
        <v>151.1</v>
      </c>
      <c r="S72" s="16"/>
      <c r="T72" s="14">
        <v>3.4</v>
      </c>
      <c r="U72" s="14">
        <v>10.4</v>
      </c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9">
        <v>0</v>
      </c>
      <c r="AL72" s="21" t="str">
        <f t="shared" si="46"/>
        <v>ND</v>
      </c>
      <c r="AM72" s="27" t="str">
        <f t="shared" si="47"/>
        <v>ND</v>
      </c>
      <c r="AN72" s="27">
        <f t="shared" si="48"/>
        <v>280.6798690160611</v>
      </c>
      <c r="AO72" s="27" t="str">
        <f t="shared" si="49"/>
        <v>ND</v>
      </c>
      <c r="AP72" s="27" t="str">
        <f t="shared" si="50"/>
        <v>ND</v>
      </c>
      <c r="AQ72" s="27" t="str">
        <f t="shared" si="51"/>
        <v>ND</v>
      </c>
      <c r="AR72" s="27" t="str">
        <f t="shared" si="52"/>
        <v>ND</v>
      </c>
      <c r="AS72" s="27" t="str">
        <f t="shared" si="53"/>
        <v>ND</v>
      </c>
      <c r="AT72" s="27" t="str">
        <f t="shared" si="54"/>
        <v>ND</v>
      </c>
      <c r="AU72" s="27" t="str">
        <f t="shared" si="55"/>
        <v>ND</v>
      </c>
      <c r="AV72" s="27">
        <f t="shared" si="56"/>
        <v>3784.50023389989</v>
      </c>
      <c r="AW72" s="27" t="str">
        <f t="shared" si="57"/>
        <v>ND</v>
      </c>
      <c r="AX72" s="27" t="str">
        <f t="shared" si="58"/>
        <v>ND</v>
      </c>
      <c r="AY72" s="27" t="str">
        <f t="shared" si="59"/>
        <v>ND</v>
      </c>
      <c r="AZ72" s="27" t="str">
        <f t="shared" si="60"/>
        <v>ND</v>
      </c>
      <c r="BA72" s="27" t="str">
        <f t="shared" si="61"/>
        <v>ND</v>
      </c>
      <c r="BB72" s="27">
        <f t="shared" si="62"/>
        <v>2356.151567129268</v>
      </c>
      <c r="BC72" s="27" t="str">
        <f t="shared" si="63"/>
        <v>ND</v>
      </c>
      <c r="BD72" s="27">
        <f t="shared" si="64"/>
        <v>53.01730859192265</v>
      </c>
      <c r="BE72" s="27">
        <f t="shared" si="65"/>
        <v>162.17059098705752</v>
      </c>
      <c r="BF72" s="27" t="str">
        <f t="shared" si="66"/>
        <v>ND</v>
      </c>
      <c r="BG72" s="27" t="str">
        <f t="shared" si="67"/>
        <v>ND</v>
      </c>
      <c r="BH72" s="27" t="str">
        <f t="shared" si="68"/>
        <v>ND</v>
      </c>
      <c r="BI72" s="27" t="str">
        <f t="shared" si="69"/>
        <v>ND</v>
      </c>
      <c r="BJ72" s="27" t="str">
        <f t="shared" si="70"/>
        <v>ND</v>
      </c>
      <c r="BK72" s="27" t="str">
        <f t="shared" si="71"/>
        <v>ND</v>
      </c>
      <c r="BL72" s="27" t="str">
        <f t="shared" si="72"/>
        <v>ND</v>
      </c>
      <c r="BM72" s="27" t="str">
        <f t="shared" si="73"/>
        <v>ND</v>
      </c>
      <c r="BN72" s="16"/>
      <c r="BT72" s="3"/>
      <c r="BU72" s="34">
        <f t="shared" si="74"/>
        <v>2.6048076211026467</v>
      </c>
      <c r="BV72" s="10"/>
    </row>
    <row r="73" spans="1:74" ht="15.75" thickBot="1">
      <c r="A73" s="5" t="s">
        <v>31</v>
      </c>
      <c r="B73" s="10"/>
      <c r="C73" s="16"/>
      <c r="D73" s="16"/>
      <c r="E73" s="16"/>
      <c r="F73" s="16"/>
      <c r="G73" s="16"/>
      <c r="H73" s="16"/>
      <c r="I73" s="16"/>
      <c r="J73" s="16"/>
      <c r="K73" s="16"/>
      <c r="L73" s="14">
        <v>5124</v>
      </c>
      <c r="M73" s="16"/>
      <c r="N73" s="16"/>
      <c r="O73" s="16"/>
      <c r="P73" s="16"/>
      <c r="Q73" s="16"/>
      <c r="R73" s="14">
        <v>2431</v>
      </c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9">
        <v>0</v>
      </c>
      <c r="AL73" s="21" t="str">
        <f t="shared" si="46"/>
        <v>ND</v>
      </c>
      <c r="AM73" s="27" t="str">
        <f t="shared" si="47"/>
        <v>ND</v>
      </c>
      <c r="AN73" s="27" t="str">
        <f t="shared" si="48"/>
        <v>ND</v>
      </c>
      <c r="AO73" s="27" t="str">
        <f t="shared" si="49"/>
        <v>ND</v>
      </c>
      <c r="AP73" s="27" t="str">
        <f t="shared" si="50"/>
        <v>ND</v>
      </c>
      <c r="AQ73" s="27" t="str">
        <f t="shared" si="51"/>
        <v>ND</v>
      </c>
      <c r="AR73" s="27" t="str">
        <f t="shared" si="52"/>
        <v>ND</v>
      </c>
      <c r="AS73" s="27" t="str">
        <f t="shared" si="53"/>
        <v>ND</v>
      </c>
      <c r="AT73" s="27" t="str">
        <f t="shared" si="54"/>
        <v>ND</v>
      </c>
      <c r="AU73" s="27" t="str">
        <f t="shared" si="55"/>
        <v>ND</v>
      </c>
      <c r="AV73" s="27">
        <f t="shared" si="56"/>
        <v>79900.20271323873</v>
      </c>
      <c r="AW73" s="27" t="str">
        <f t="shared" si="57"/>
        <v>ND</v>
      </c>
      <c r="AX73" s="27" t="str">
        <f t="shared" si="58"/>
        <v>ND</v>
      </c>
      <c r="AY73" s="27" t="str">
        <f t="shared" si="59"/>
        <v>ND</v>
      </c>
      <c r="AZ73" s="27" t="str">
        <f t="shared" si="60"/>
        <v>ND</v>
      </c>
      <c r="BA73" s="27" t="str">
        <f t="shared" si="61"/>
        <v>ND</v>
      </c>
      <c r="BB73" s="27">
        <f t="shared" si="62"/>
        <v>37907.375643224696</v>
      </c>
      <c r="BC73" s="27" t="str">
        <f t="shared" si="63"/>
        <v>ND</v>
      </c>
      <c r="BD73" s="27" t="str">
        <f t="shared" si="64"/>
        <v>ND</v>
      </c>
      <c r="BE73" s="27" t="str">
        <f t="shared" si="65"/>
        <v>ND</v>
      </c>
      <c r="BF73" s="27" t="str">
        <f t="shared" si="66"/>
        <v>ND</v>
      </c>
      <c r="BG73" s="27" t="str">
        <f t="shared" si="67"/>
        <v>ND</v>
      </c>
      <c r="BH73" s="27" t="str">
        <f t="shared" si="68"/>
        <v>ND</v>
      </c>
      <c r="BI73" s="27" t="str">
        <f t="shared" si="69"/>
        <v>ND</v>
      </c>
      <c r="BJ73" s="27" t="str">
        <f t="shared" si="70"/>
        <v>ND</v>
      </c>
      <c r="BK73" s="27" t="str">
        <f t="shared" si="71"/>
        <v>ND</v>
      </c>
      <c r="BL73" s="27" t="str">
        <f t="shared" si="72"/>
        <v>ND</v>
      </c>
      <c r="BM73" s="27" t="str">
        <f t="shared" si="73"/>
        <v>ND</v>
      </c>
      <c r="BN73" s="16"/>
      <c r="BT73" s="3"/>
      <c r="BU73" s="34">
        <f t="shared" si="74"/>
        <v>34.62158188573284</v>
      </c>
      <c r="BV73" s="10"/>
    </row>
    <row r="74" spans="1:74" ht="16.5" thickBot="1" thickTop="1">
      <c r="A74" s="4" t="s">
        <v>32</v>
      </c>
      <c r="B74" s="6"/>
      <c r="C74" s="15"/>
      <c r="D74" s="12">
        <f>4400+8780+1180</f>
        <v>14360</v>
      </c>
      <c r="E74" s="15"/>
      <c r="F74" s="12">
        <v>1640</v>
      </c>
      <c r="G74" s="12">
        <v>1530</v>
      </c>
      <c r="H74" s="12">
        <v>1080</v>
      </c>
      <c r="I74" s="12">
        <v>670</v>
      </c>
      <c r="J74" s="12">
        <f>6290+300+560</f>
        <v>7150</v>
      </c>
      <c r="K74" s="15"/>
      <c r="L74" s="15"/>
      <c r="M74" s="15"/>
      <c r="N74" s="12">
        <v>1560</v>
      </c>
      <c r="O74" s="15"/>
      <c r="P74" s="12">
        <v>4590</v>
      </c>
      <c r="Q74" s="12">
        <v>2330</v>
      </c>
      <c r="R74" s="12">
        <f>360+250+76610</f>
        <v>77220</v>
      </c>
      <c r="S74" s="12">
        <f>630+150+320+80</f>
        <v>1180</v>
      </c>
      <c r="T74" s="12">
        <f>93690+3380</f>
        <v>97070</v>
      </c>
      <c r="U74" s="12">
        <f>4190+470</f>
        <v>4660</v>
      </c>
      <c r="V74" s="12">
        <f>1420+5570</f>
        <v>6990</v>
      </c>
      <c r="W74" s="12">
        <v>1180</v>
      </c>
      <c r="X74" s="12">
        <v>900</v>
      </c>
      <c r="Y74" s="12">
        <v>49380</v>
      </c>
      <c r="Z74" s="12">
        <v>380</v>
      </c>
      <c r="AA74" s="12">
        <v>480</v>
      </c>
      <c r="AB74" s="12">
        <v>180</v>
      </c>
      <c r="AC74" s="12">
        <v>2500</v>
      </c>
      <c r="AD74" s="15"/>
      <c r="AE74" s="15"/>
      <c r="AF74" s="15"/>
      <c r="AG74" s="15"/>
      <c r="AH74" s="15"/>
      <c r="AI74" s="15"/>
      <c r="AJ74" s="16"/>
      <c r="AK74" s="18" t="s">
        <v>38</v>
      </c>
      <c r="AL74" s="24" t="str">
        <f aca="true" t="shared" si="75" ref="AL74:BM74">IF(B74=0,"ND",B74/0.06413)</f>
        <v>ND</v>
      </c>
      <c r="AM74" s="24" t="str">
        <f t="shared" si="75"/>
        <v>ND</v>
      </c>
      <c r="AN74" s="29">
        <f t="shared" si="75"/>
        <v>223920.16217059098</v>
      </c>
      <c r="AO74" s="24" t="str">
        <f t="shared" si="75"/>
        <v>ND</v>
      </c>
      <c r="AP74" s="24">
        <f t="shared" si="75"/>
        <v>25573.054732574456</v>
      </c>
      <c r="AQ74" s="24">
        <f t="shared" si="75"/>
        <v>23857.788866365194</v>
      </c>
      <c r="AR74" s="24">
        <f t="shared" si="75"/>
        <v>16840.792140963666</v>
      </c>
      <c r="AS74" s="24">
        <f t="shared" si="75"/>
        <v>10447.528457820052</v>
      </c>
      <c r="AT74" s="29">
        <f t="shared" si="75"/>
        <v>111492.28130360205</v>
      </c>
      <c r="AU74" s="24" t="str">
        <f t="shared" si="75"/>
        <v>ND</v>
      </c>
      <c r="AV74" s="24" t="str">
        <f t="shared" si="75"/>
        <v>ND</v>
      </c>
      <c r="AW74" s="24" t="str">
        <f t="shared" si="75"/>
        <v>ND</v>
      </c>
      <c r="AX74" s="24">
        <f t="shared" si="75"/>
        <v>24325.588648058627</v>
      </c>
      <c r="AY74" s="24" t="str">
        <f t="shared" si="75"/>
        <v>ND</v>
      </c>
      <c r="AZ74" s="24">
        <f t="shared" si="75"/>
        <v>71573.36659909558</v>
      </c>
      <c r="BA74" s="24">
        <f t="shared" si="75"/>
        <v>36332.44971152346</v>
      </c>
      <c r="BB74" s="24">
        <f t="shared" si="75"/>
        <v>1204116.6380789021</v>
      </c>
      <c r="BC74" s="24">
        <f t="shared" si="75"/>
        <v>18400.12474660845</v>
      </c>
      <c r="BD74" s="24">
        <f t="shared" si="75"/>
        <v>1513644.1602993917</v>
      </c>
      <c r="BE74" s="24">
        <f t="shared" si="75"/>
        <v>72664.89942304693</v>
      </c>
      <c r="BF74" s="29">
        <f t="shared" si="75"/>
        <v>108997.3491345704</v>
      </c>
      <c r="BG74" s="24">
        <f t="shared" si="75"/>
        <v>18400.12474660845</v>
      </c>
      <c r="BH74" s="24">
        <f t="shared" si="75"/>
        <v>14033.993450803055</v>
      </c>
      <c r="BI74" s="29">
        <f t="shared" si="75"/>
        <v>769998.4406673943</v>
      </c>
      <c r="BJ74" s="24">
        <f t="shared" si="75"/>
        <v>5925.463901450179</v>
      </c>
      <c r="BK74" s="24">
        <f t="shared" si="75"/>
        <v>7484.796507094962</v>
      </c>
      <c r="BL74" s="24">
        <f t="shared" si="75"/>
        <v>2806.798690160611</v>
      </c>
      <c r="BM74" s="24">
        <f t="shared" si="75"/>
        <v>38983.315141119594</v>
      </c>
      <c r="BN74" s="16"/>
      <c r="BT74" s="3"/>
      <c r="BU74" s="35">
        <f t="shared" si="74"/>
        <v>3945.379197780571</v>
      </c>
      <c r="BV74" s="10"/>
    </row>
    <row r="75" spans="1:74" ht="15.75" thickTop="1">
      <c r="A75" s="4" t="s">
        <v>33</v>
      </c>
      <c r="B75" s="8" t="e">
        <f aca="true" t="shared" si="76" ref="B75:AC75">SUM(B46:B73)*100/(1000*B74)</f>
        <v>#DIV/0!</v>
      </c>
      <c r="C75" s="12" t="e">
        <f t="shared" si="76"/>
        <v>#DIV/0!</v>
      </c>
      <c r="D75" s="12">
        <f t="shared" si="76"/>
        <v>1.8390222841225625</v>
      </c>
      <c r="E75" s="12" t="e">
        <f t="shared" si="76"/>
        <v>#DIV/0!</v>
      </c>
      <c r="F75" s="12">
        <f t="shared" si="76"/>
        <v>3.0352621951219514</v>
      </c>
      <c r="G75" s="12">
        <f t="shared" si="76"/>
        <v>1.011150326797386</v>
      </c>
      <c r="H75" s="12">
        <f t="shared" si="76"/>
        <v>2.610648148148148</v>
      </c>
      <c r="I75" s="12">
        <f t="shared" si="76"/>
        <v>2.4079402985074627</v>
      </c>
      <c r="J75" s="12">
        <f t="shared" si="76"/>
        <v>2.6885006993006995</v>
      </c>
      <c r="K75" s="12" t="e">
        <f t="shared" si="76"/>
        <v>#DIV/0!</v>
      </c>
      <c r="L75" s="12" t="e">
        <f t="shared" si="76"/>
        <v>#DIV/0!</v>
      </c>
      <c r="M75" s="12" t="e">
        <f t="shared" si="76"/>
        <v>#DIV/0!</v>
      </c>
      <c r="N75" s="12">
        <f t="shared" si="76"/>
        <v>4.091</v>
      </c>
      <c r="O75" s="12" t="e">
        <f t="shared" si="76"/>
        <v>#DIV/0!</v>
      </c>
      <c r="P75" s="12">
        <f t="shared" si="76"/>
        <v>3.5676971677559908</v>
      </c>
      <c r="Q75" s="12">
        <f t="shared" si="76"/>
        <v>1.8016223175965669</v>
      </c>
      <c r="R75" s="12">
        <f t="shared" si="76"/>
        <v>4.057073167573169</v>
      </c>
      <c r="S75" s="12">
        <f t="shared" si="76"/>
        <v>5.664474576271186</v>
      </c>
      <c r="T75" s="12">
        <f t="shared" si="76"/>
        <v>0.08166632327186568</v>
      </c>
      <c r="U75" s="12">
        <f t="shared" si="76"/>
        <v>2.6040150214592273</v>
      </c>
      <c r="V75" s="12">
        <f t="shared" si="76"/>
        <v>1.5379370529327614</v>
      </c>
      <c r="W75" s="12">
        <f t="shared" si="76"/>
        <v>2.20743220338983</v>
      </c>
      <c r="X75" s="12">
        <f t="shared" si="76"/>
        <v>2.8229</v>
      </c>
      <c r="Y75" s="12">
        <f t="shared" si="76"/>
        <v>0.11186533009315512</v>
      </c>
      <c r="Z75" s="12">
        <f t="shared" si="76"/>
        <v>3.5576052631578947</v>
      </c>
      <c r="AA75" s="12">
        <f t="shared" si="76"/>
        <v>3.31339375</v>
      </c>
      <c r="AB75" s="12">
        <f t="shared" si="76"/>
        <v>6.610166666666666</v>
      </c>
      <c r="AC75" s="12">
        <f t="shared" si="76"/>
        <v>3.20372</v>
      </c>
      <c r="AD75" s="15"/>
      <c r="AE75" s="15"/>
      <c r="AF75" s="15"/>
      <c r="AG75" s="15"/>
      <c r="AH75" s="15"/>
      <c r="AI75" s="15"/>
      <c r="AJ75" s="16"/>
      <c r="AK75" s="19" t="s">
        <v>38</v>
      </c>
      <c r="AL75" s="25"/>
      <c r="AM75" s="25"/>
      <c r="AN75" s="30"/>
      <c r="AO75" s="25"/>
      <c r="AP75" s="25"/>
      <c r="AQ75" s="25"/>
      <c r="AR75" s="25"/>
      <c r="AS75" s="25"/>
      <c r="AT75" s="30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30"/>
      <c r="BG75" s="25"/>
      <c r="BH75" s="25"/>
      <c r="BI75" s="30"/>
      <c r="BJ75" s="25"/>
      <c r="BK75" s="25"/>
      <c r="BL75" s="25"/>
      <c r="BM75" s="25"/>
      <c r="BN75" s="16"/>
      <c r="BU75" s="36">
        <f t="shared" si="74"/>
        <v>0</v>
      </c>
      <c r="BV75" s="10"/>
    </row>
    <row r="76" spans="1:74" ht="15">
      <c r="A76" s="5" t="s">
        <v>34</v>
      </c>
      <c r="B76" s="9">
        <f aca="true" t="shared" si="77" ref="B76:AC76">B74-(B47*2.542/1000)</f>
        <v>-78.809626</v>
      </c>
      <c r="C76" s="14">
        <f t="shared" si="77"/>
        <v>0</v>
      </c>
      <c r="D76" s="14">
        <f t="shared" si="77"/>
        <v>14269.128584</v>
      </c>
      <c r="E76" s="14">
        <f t="shared" si="77"/>
        <v>0</v>
      </c>
      <c r="F76" s="14">
        <f t="shared" si="77"/>
        <v>1614.05889</v>
      </c>
      <c r="G76" s="14">
        <f t="shared" si="77"/>
        <v>1520.74712</v>
      </c>
      <c r="H76" s="14">
        <f t="shared" si="77"/>
        <v>1062.597468</v>
      </c>
      <c r="I76" s="14">
        <f t="shared" si="77"/>
        <v>663.919536</v>
      </c>
      <c r="J76" s="14">
        <f t="shared" si="77"/>
        <v>7077.875834</v>
      </c>
      <c r="K76" s="14">
        <f t="shared" si="77"/>
        <v>-16.721276</v>
      </c>
      <c r="L76" s="14">
        <f t="shared" si="77"/>
        <v>-2009.072242</v>
      </c>
      <c r="M76" s="14">
        <f t="shared" si="77"/>
        <v>-49.24108199999999</v>
      </c>
      <c r="N76" s="14">
        <f t="shared" si="77"/>
        <v>1527.009924</v>
      </c>
      <c r="O76" s="14">
        <f t="shared" si="77"/>
        <v>-238.11676599999998</v>
      </c>
      <c r="P76" s="14">
        <f t="shared" si="77"/>
        <v>4498.343106</v>
      </c>
      <c r="Q76" s="14">
        <f t="shared" si="77"/>
        <v>2295.14918</v>
      </c>
      <c r="R76" s="14">
        <f t="shared" si="77"/>
        <v>75587.774174</v>
      </c>
      <c r="S76" s="14">
        <f t="shared" si="77"/>
        <v>1134.772736</v>
      </c>
      <c r="T76" s="14">
        <f t="shared" si="77"/>
        <v>97028.834852</v>
      </c>
      <c r="U76" s="14">
        <f t="shared" si="77"/>
        <v>4581.594552</v>
      </c>
      <c r="V76" s="14">
        <f t="shared" si="77"/>
        <v>6940.237808</v>
      </c>
      <c r="W76" s="14">
        <f t="shared" si="77"/>
        <v>1164.30315</v>
      </c>
      <c r="X76" s="14">
        <f t="shared" si="77"/>
        <v>884.905604</v>
      </c>
      <c r="Y76" s="14">
        <f t="shared" si="77"/>
        <v>49353.113266</v>
      </c>
      <c r="Z76" s="14">
        <f t="shared" si="77"/>
        <v>370.269224</v>
      </c>
      <c r="AA76" s="14">
        <f t="shared" si="77"/>
        <v>480</v>
      </c>
      <c r="AB76" s="14">
        <f t="shared" si="77"/>
        <v>167.788232</v>
      </c>
      <c r="AC76" s="14">
        <f t="shared" si="77"/>
        <v>2471.127964</v>
      </c>
      <c r="AD76" s="16"/>
      <c r="AE76" s="16"/>
      <c r="AF76" s="16"/>
      <c r="AG76" s="16"/>
      <c r="AH76" s="16"/>
      <c r="AI76" s="16"/>
      <c r="AJ76" s="16"/>
      <c r="AK76" s="20" t="s">
        <v>38</v>
      </c>
      <c r="AL76" s="26">
        <f aca="true" t="shared" si="78" ref="AL76:BM76">IF(B76=0,"ND",B76/0.06413)</f>
        <v>-1228.904194604709</v>
      </c>
      <c r="AM76" s="26" t="str">
        <f t="shared" si="78"/>
        <v>ND</v>
      </c>
      <c r="AN76" s="31">
        <f t="shared" si="78"/>
        <v>222503.17455169186</v>
      </c>
      <c r="AO76" s="26" t="str">
        <f t="shared" si="78"/>
        <v>ND</v>
      </c>
      <c r="AP76" s="26">
        <f t="shared" si="78"/>
        <v>25168.546546078276</v>
      </c>
      <c r="AQ76" s="26">
        <f t="shared" si="78"/>
        <v>23713.50569156401</v>
      </c>
      <c r="AR76" s="26">
        <f t="shared" si="78"/>
        <v>16569.4287852799</v>
      </c>
      <c r="AS76" s="26">
        <f t="shared" si="78"/>
        <v>10352.71380009356</v>
      </c>
      <c r="AT76" s="31">
        <f t="shared" si="78"/>
        <v>110367.62566661468</v>
      </c>
      <c r="AU76" s="26">
        <f t="shared" si="78"/>
        <v>-260.74030874785586</v>
      </c>
      <c r="AV76" s="26">
        <f t="shared" si="78"/>
        <v>-31328.11854046468</v>
      </c>
      <c r="AW76" s="26">
        <f t="shared" si="78"/>
        <v>-767.8322469982845</v>
      </c>
      <c r="AX76" s="26">
        <f t="shared" si="78"/>
        <v>23811.16363636363</v>
      </c>
      <c r="AY76" s="26">
        <f t="shared" si="78"/>
        <v>-3713.0323717448928</v>
      </c>
      <c r="AZ76" s="26">
        <f t="shared" si="78"/>
        <v>70144.1307656323</v>
      </c>
      <c r="BA76" s="26">
        <f t="shared" si="78"/>
        <v>35789.00951192889</v>
      </c>
      <c r="BB76" s="26">
        <f t="shared" si="78"/>
        <v>1178664.8085763294</v>
      </c>
      <c r="BC76" s="26">
        <f t="shared" si="78"/>
        <v>17694.8812724154</v>
      </c>
      <c r="BD76" s="26">
        <f t="shared" si="78"/>
        <v>1513002.2587244657</v>
      </c>
      <c r="BE76" s="26">
        <f t="shared" si="78"/>
        <v>71442.29770778105</v>
      </c>
      <c r="BF76" s="31">
        <f t="shared" si="78"/>
        <v>108221.39104943084</v>
      </c>
      <c r="BG76" s="26">
        <f t="shared" si="78"/>
        <v>18155.358646499295</v>
      </c>
      <c r="BH76" s="26">
        <f t="shared" si="78"/>
        <v>13798.621612349914</v>
      </c>
      <c r="BI76" s="31">
        <f t="shared" si="78"/>
        <v>769579.1870575394</v>
      </c>
      <c r="BJ76" s="26">
        <f t="shared" si="78"/>
        <v>5773.728738499922</v>
      </c>
      <c r="BK76" s="26">
        <f t="shared" si="78"/>
        <v>7484.796507094962</v>
      </c>
      <c r="BL76" s="26">
        <f t="shared" si="78"/>
        <v>2616.376610010915</v>
      </c>
      <c r="BM76" s="26">
        <f t="shared" si="78"/>
        <v>38533.10406985809</v>
      </c>
      <c r="BN76" s="16"/>
      <c r="BU76" s="34">
        <f t="shared" si="74"/>
        <v>3906.6511979764623</v>
      </c>
      <c r="BV76" s="10"/>
    </row>
    <row r="77" spans="1:74" ht="15.75" thickBot="1">
      <c r="A77" s="5" t="s">
        <v>35</v>
      </c>
      <c r="B77" s="9" t="e">
        <f aca="true" t="shared" si="79" ref="B77:AC77">B76*100/B74</f>
        <v>#DIV/0!</v>
      </c>
      <c r="C77" s="14" t="e">
        <f t="shared" si="79"/>
        <v>#DIV/0!</v>
      </c>
      <c r="D77" s="14">
        <f t="shared" si="79"/>
        <v>99.36719069637883</v>
      </c>
      <c r="E77" s="14" t="e">
        <f t="shared" si="79"/>
        <v>#DIV/0!</v>
      </c>
      <c r="F77" s="14">
        <f t="shared" si="79"/>
        <v>98.41822499999999</v>
      </c>
      <c r="G77" s="14">
        <f t="shared" si="79"/>
        <v>99.39523660130719</v>
      </c>
      <c r="H77" s="14">
        <f t="shared" si="79"/>
        <v>98.38865444444444</v>
      </c>
      <c r="I77" s="14">
        <f t="shared" si="79"/>
        <v>99.09246805970149</v>
      </c>
      <c r="J77" s="14">
        <f t="shared" si="79"/>
        <v>98.9912704055944</v>
      </c>
      <c r="K77" s="14" t="e">
        <f t="shared" si="79"/>
        <v>#DIV/0!</v>
      </c>
      <c r="L77" s="14" t="e">
        <f t="shared" si="79"/>
        <v>#DIV/0!</v>
      </c>
      <c r="M77" s="14" t="e">
        <f t="shared" si="79"/>
        <v>#DIV/0!</v>
      </c>
      <c r="N77" s="14">
        <f t="shared" si="79"/>
        <v>97.88525153846153</v>
      </c>
      <c r="O77" s="14" t="e">
        <f t="shared" si="79"/>
        <v>#DIV/0!</v>
      </c>
      <c r="P77" s="14">
        <f t="shared" si="79"/>
        <v>98.00311777777779</v>
      </c>
      <c r="Q77" s="14">
        <f t="shared" si="79"/>
        <v>98.50425665236051</v>
      </c>
      <c r="R77" s="14">
        <f t="shared" si="79"/>
        <v>97.88626544159546</v>
      </c>
      <c r="S77" s="14">
        <f t="shared" si="79"/>
        <v>96.16718101694914</v>
      </c>
      <c r="T77" s="14">
        <f t="shared" si="79"/>
        <v>99.95759230658287</v>
      </c>
      <c r="U77" s="14">
        <f t="shared" si="79"/>
        <v>98.31747965665235</v>
      </c>
      <c r="V77" s="14">
        <f t="shared" si="79"/>
        <v>99.28809453505006</v>
      </c>
      <c r="W77" s="14">
        <f t="shared" si="79"/>
        <v>98.66975847457627</v>
      </c>
      <c r="X77" s="14">
        <f t="shared" si="79"/>
        <v>98.3228448888889</v>
      </c>
      <c r="Y77" s="14">
        <f t="shared" si="79"/>
        <v>99.9455513689753</v>
      </c>
      <c r="Z77" s="14">
        <f t="shared" si="79"/>
        <v>97.43926947368422</v>
      </c>
      <c r="AA77" s="14">
        <f t="shared" si="79"/>
        <v>100</v>
      </c>
      <c r="AB77" s="14">
        <f t="shared" si="79"/>
        <v>93.21568444444443</v>
      </c>
      <c r="AC77" s="14">
        <f t="shared" si="79"/>
        <v>98.84511856</v>
      </c>
      <c r="AD77" s="16"/>
      <c r="AE77" s="16"/>
      <c r="AF77" s="16"/>
      <c r="AG77" s="16"/>
      <c r="AH77" s="16"/>
      <c r="AI77" s="16"/>
      <c r="AJ77" s="16"/>
      <c r="AK77" s="20" t="s">
        <v>38</v>
      </c>
      <c r="AL77" s="26"/>
      <c r="AM77" s="26"/>
      <c r="AN77" s="31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16"/>
      <c r="BU77" s="33" t="s">
        <v>38</v>
      </c>
      <c r="BV77" s="10"/>
    </row>
    <row r="78" spans="1:73" ht="15.75" thickTop="1">
      <c r="A78" s="7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U78" s="7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2004-12-07T22:13:14Z</dcterms:created>
  <dcterms:modified xsi:type="dcterms:W3CDTF">2004-12-07T22:13:14Z</dcterms:modified>
  <cp:category/>
  <cp:version/>
  <cp:contentType/>
  <cp:contentStatus/>
</cp:coreProperties>
</file>