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0"/>
  </bookViews>
  <sheets>
    <sheet name="INAA Dry Deposition" sheetId="1" r:id="rId1"/>
  </sheets>
  <definedNames>
    <definedName name="_Fill" hidden="1">'INAA Dry Deposition'!$AN$39:$BP$44</definedName>
    <definedName name="_Regression_Int" localSheetId="0" hidden="1">1</definedName>
    <definedName name="_xlnm.Print_Area" localSheetId="0">'INAA Dry Deposition'!$BV$1:$BW$86</definedName>
    <definedName name="Print_Area_MI" localSheetId="0">'INAA Dry Deposition'!$BV$1:$BW$86</definedName>
    <definedName name="_xlnm.Print_Titles" localSheetId="0">'INAA Dry Deposition'!$A:$A</definedName>
    <definedName name="Print_Titles_MI" localSheetId="0">'INAA Dry Deposition'!$A:$A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<sst xmlns="http://schemas.openxmlformats.org/spreadsheetml/2006/main" count="364" uniqueCount="115">
  <si>
    <t>Sample ID</t>
  </si>
  <si>
    <t>Date</t>
  </si>
  <si>
    <t>Time (hrs)</t>
  </si>
  <si>
    <t>Rain (in)</t>
  </si>
  <si>
    <t>Fe</t>
  </si>
  <si>
    <t>Na</t>
  </si>
  <si>
    <t>K</t>
  </si>
  <si>
    <t>Cs</t>
  </si>
  <si>
    <t>Sc</t>
  </si>
  <si>
    <t>Cr</t>
  </si>
  <si>
    <t>Co</t>
  </si>
  <si>
    <t>Zn</t>
  </si>
  <si>
    <t>Ag</t>
  </si>
  <si>
    <t>Ga</t>
  </si>
  <si>
    <t>As</t>
  </si>
  <si>
    <t>Sb</t>
  </si>
  <si>
    <t>Se</t>
  </si>
  <si>
    <t>Br</t>
  </si>
  <si>
    <t>La</t>
  </si>
  <si>
    <t>Ce</t>
  </si>
  <si>
    <t>Nd</t>
  </si>
  <si>
    <t>Sm</t>
  </si>
  <si>
    <t>Eu</t>
  </si>
  <si>
    <t>Gd</t>
  </si>
  <si>
    <t>Tb</t>
  </si>
  <si>
    <t>Tm</t>
  </si>
  <si>
    <t>Yb</t>
  </si>
  <si>
    <t>Lu</t>
  </si>
  <si>
    <t>Zr</t>
  </si>
  <si>
    <t>Hf</t>
  </si>
  <si>
    <t>Ta</t>
  </si>
  <si>
    <t>W</t>
  </si>
  <si>
    <t>Ir</t>
  </si>
  <si>
    <t>Th</t>
  </si>
  <si>
    <t>U</t>
  </si>
  <si>
    <t>Rb</t>
  </si>
  <si>
    <t>Total Mass(ug)</t>
  </si>
  <si>
    <t>% Metals</t>
  </si>
  <si>
    <t>Non-Marine(ug)</t>
  </si>
  <si>
    <t>% Non-Marine</t>
  </si>
  <si>
    <t>Total Mass (ug)</t>
  </si>
  <si>
    <t>Detection</t>
  </si>
  <si>
    <t>Limit</t>
  </si>
  <si>
    <t>(ng)</t>
  </si>
  <si>
    <t>Nahant Dry Deposition Samples (Sample mass - ng)</t>
  </si>
  <si>
    <t>7/7/92</t>
  </si>
  <si>
    <t>Truro Dry Deposition Samples  (sample mass - ng)</t>
  </si>
  <si>
    <t>7/17/92</t>
  </si>
  <si>
    <t>(missing)</t>
  </si>
  <si>
    <t>7/22/92</t>
  </si>
  <si>
    <t>(634A?)</t>
  </si>
  <si>
    <t>8/12/92</t>
  </si>
  <si>
    <t>9/1/92</t>
  </si>
  <si>
    <t>8/6/92</t>
  </si>
  <si>
    <t>9/15/92</t>
  </si>
  <si>
    <t>9/29/92</t>
  </si>
  <si>
    <t>8/19/92</t>
  </si>
  <si>
    <t>10/13/92</t>
  </si>
  <si>
    <t>9/2/92</t>
  </si>
  <si>
    <t>10/27/92</t>
  </si>
  <si>
    <t>9/16/92</t>
  </si>
  <si>
    <t>11/10/92</t>
  </si>
  <si>
    <t>9/30/92</t>
  </si>
  <si>
    <t>11/24/92</t>
  </si>
  <si>
    <t>10/14/92</t>
  </si>
  <si>
    <t>Malfunct.</t>
  </si>
  <si>
    <t>12/8/92</t>
  </si>
  <si>
    <t>12/24/92</t>
  </si>
  <si>
    <t>1/7/93</t>
  </si>
  <si>
    <t>11/23/92</t>
  </si>
  <si>
    <t>1/21/93</t>
  </si>
  <si>
    <t>Destroyed</t>
  </si>
  <si>
    <t>12/7/92</t>
  </si>
  <si>
    <t xml:space="preserve"> </t>
  </si>
  <si>
    <t>2/4/93</t>
  </si>
  <si>
    <t>12/21/92</t>
  </si>
  <si>
    <t>2/20/93</t>
  </si>
  <si>
    <t>1/6/93</t>
  </si>
  <si>
    <t>3/3/93</t>
  </si>
  <si>
    <t>668?</t>
  </si>
  <si>
    <t>1/20/93</t>
  </si>
  <si>
    <t>3/20/93</t>
  </si>
  <si>
    <t>2/2/93</t>
  </si>
  <si>
    <t>4/8/93</t>
  </si>
  <si>
    <t>2/15/93</t>
  </si>
  <si>
    <t>4/29/93</t>
  </si>
  <si>
    <t>3/2/93</t>
  </si>
  <si>
    <t>5/25/93</t>
  </si>
  <si>
    <t>3/16/93</t>
  </si>
  <si>
    <t>6/9/93</t>
  </si>
  <si>
    <t>3/30/93</t>
  </si>
  <si>
    <t>7/1/93</t>
  </si>
  <si>
    <t>4/14/93</t>
  </si>
  <si>
    <t xml:space="preserve"> 7/15/93</t>
  </si>
  <si>
    <t>4/27/93</t>
  </si>
  <si>
    <t xml:space="preserve"> 7/28/93</t>
  </si>
  <si>
    <t>5/13/93</t>
  </si>
  <si>
    <t xml:space="preserve"> 8/8/93</t>
  </si>
  <si>
    <t>5/26/93</t>
  </si>
  <si>
    <t xml:space="preserve"> 8/21/93</t>
  </si>
  <si>
    <t xml:space="preserve"> 9/1/93</t>
  </si>
  <si>
    <t>6/23/93</t>
  </si>
  <si>
    <t>7/7/93</t>
  </si>
  <si>
    <t xml:space="preserve"> 7/22/93</t>
  </si>
  <si>
    <t xml:space="preserve"> 8/4/93</t>
  </si>
  <si>
    <t xml:space="preserve"> 8/18/93</t>
  </si>
  <si>
    <t>Nahant Dry Deposition Samples  (Deposition Rates  [ng/m2-hr])</t>
  </si>
  <si>
    <t>Blank</t>
  </si>
  <si>
    <t>Truro Dry Deposition Samples  (Deposition Rates  [ng/m2-hr])</t>
  </si>
  <si>
    <t>Dry Annual</t>
  </si>
  <si>
    <t>Deposition</t>
  </si>
  <si>
    <t>Rates</t>
  </si>
  <si>
    <t>(ug/m2-year)</t>
  </si>
  <si>
    <t>Nahant</t>
  </si>
  <si>
    <t>Truro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</si>
</sst>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_)"/>
    <numFmt numFmtId="165" formatCode="0.00_)"/>
    <numFmt numFmtId="166" formatCode="0_)"/>
  </numFmts>
  <fonts count="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7" xfId="0" applyFont="1" applyFill="1" applyBorder="1" applyAlignment="1">
      <alignment/>
    </xf>
    <xf numFmtId="164" fontId="2" fillId="0" borderId="2" xfId="0" applyNumberFormat="1" applyFont="1" applyFill="1" applyBorder="1" applyAlignment="1" applyProtection="1">
      <alignment/>
      <protection/>
    </xf>
    <xf numFmtId="0" fontId="2" fillId="0" borderId="8" xfId="0" applyFont="1" applyFill="1" applyBorder="1" applyAlignment="1" applyProtection="1">
      <alignment/>
      <protection/>
    </xf>
    <xf numFmtId="165" fontId="2" fillId="0" borderId="3" xfId="0" applyNumberFormat="1" applyFont="1" applyFill="1" applyBorder="1" applyAlignment="1" applyProtection="1">
      <alignment/>
      <protection/>
    </xf>
    <xf numFmtId="165" fontId="2" fillId="0" borderId="8" xfId="0" applyNumberFormat="1" applyFont="1" applyFill="1" applyBorder="1" applyAlignment="1" applyProtection="1">
      <alignment/>
      <protection/>
    </xf>
    <xf numFmtId="165" fontId="2" fillId="0" borderId="4" xfId="0" applyNumberFormat="1" applyFont="1" applyFill="1" applyBorder="1" applyAlignment="1" applyProtection="1">
      <alignment/>
      <protection/>
    </xf>
    <xf numFmtId="165" fontId="2" fillId="0" borderId="5" xfId="0" applyNumberFormat="1" applyFont="1" applyFill="1" applyBorder="1" applyAlignment="1" applyProtection="1">
      <alignment/>
      <protection/>
    </xf>
    <xf numFmtId="165" fontId="2" fillId="0" borderId="5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/>
      <protection/>
    </xf>
    <xf numFmtId="165" fontId="2" fillId="0" borderId="4" xfId="0" applyNumberFormat="1" applyFont="1" applyFill="1" applyBorder="1" applyAlignment="1" applyProtection="1">
      <alignment/>
      <protection/>
    </xf>
    <xf numFmtId="166" fontId="2" fillId="0" borderId="5" xfId="0" applyNumberFormat="1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166" fontId="2" fillId="0" borderId="4" xfId="0" applyNumberFormat="1" applyFont="1" applyFill="1" applyBorder="1" applyAlignment="1" applyProtection="1">
      <alignment/>
      <protection/>
    </xf>
    <xf numFmtId="166" fontId="2" fillId="0" borderId="5" xfId="0" applyNumberFormat="1" applyFont="1" applyFill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W86"/>
  <sheetViews>
    <sheetView showGridLines="0"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796875" defaultRowHeight="15"/>
  <cols>
    <col min="1" max="1" width="13.796875" style="0" customWidth="1"/>
    <col min="37" max="37" width="15.796875" style="0" customWidth="1"/>
    <col min="38" max="38" width="6.796875" style="0" customWidth="1"/>
    <col min="74" max="74" width="12.796875" style="0" customWidth="1"/>
  </cols>
  <sheetData>
    <row r="1" spans="3:38" ht="15.75" thickBot="1">
      <c r="C1" s="1" t="s">
        <v>44</v>
      </c>
      <c r="Q1" s="7" t="s">
        <v>71</v>
      </c>
      <c r="R1" s="2">
        <v>644</v>
      </c>
      <c r="T1" s="1" t="s">
        <v>79</v>
      </c>
      <c r="AL1" s="1" t="s">
        <v>106</v>
      </c>
    </row>
    <row r="2" spans="1:75" ht="15.75" thickTop="1">
      <c r="A2" s="3" t="s">
        <v>0</v>
      </c>
      <c r="B2" s="9"/>
      <c r="C2" s="14">
        <v>600</v>
      </c>
      <c r="D2" s="15">
        <v>601</v>
      </c>
      <c r="E2" s="15">
        <v>604</v>
      </c>
      <c r="F2" s="15">
        <v>605</v>
      </c>
      <c r="G2" s="15">
        <v>606</v>
      </c>
      <c r="H2" s="15">
        <v>607</v>
      </c>
      <c r="I2" s="15">
        <v>609</v>
      </c>
      <c r="J2" s="15">
        <v>611</v>
      </c>
      <c r="K2" s="15">
        <v>614</v>
      </c>
      <c r="L2" s="15">
        <v>618</v>
      </c>
      <c r="M2" s="15">
        <v>623</v>
      </c>
      <c r="N2" s="15">
        <v>627</v>
      </c>
      <c r="O2" s="15">
        <v>631</v>
      </c>
      <c r="P2" s="15">
        <v>635</v>
      </c>
      <c r="Q2" s="15">
        <v>639</v>
      </c>
      <c r="R2" s="15">
        <v>643</v>
      </c>
      <c r="S2" s="15">
        <v>647</v>
      </c>
      <c r="T2" s="15">
        <v>651</v>
      </c>
      <c r="U2" s="15">
        <v>655</v>
      </c>
      <c r="V2" s="15">
        <v>659</v>
      </c>
      <c r="W2" s="15">
        <v>663</v>
      </c>
      <c r="X2" s="15">
        <v>667</v>
      </c>
      <c r="Y2" s="15">
        <v>671</v>
      </c>
      <c r="Z2" s="15">
        <v>675</v>
      </c>
      <c r="AA2" s="15">
        <v>679</v>
      </c>
      <c r="AB2" s="15">
        <v>683</v>
      </c>
      <c r="AC2" s="15">
        <v>687</v>
      </c>
      <c r="AD2" s="15">
        <v>691</v>
      </c>
      <c r="AE2" s="15">
        <v>695</v>
      </c>
      <c r="AF2" s="15">
        <v>699</v>
      </c>
      <c r="AG2" s="15">
        <v>701</v>
      </c>
      <c r="AH2" s="15">
        <v>703</v>
      </c>
      <c r="AI2" s="15">
        <v>707</v>
      </c>
      <c r="AJ2" s="15">
        <v>711</v>
      </c>
      <c r="AK2" s="13"/>
      <c r="AL2" s="3" t="s">
        <v>73</v>
      </c>
      <c r="AM2" s="14">
        <f aca="true" t="shared" si="0" ref="AM2:AV4">C2</f>
        <v>600</v>
      </c>
      <c r="AN2" s="15">
        <f t="shared" si="0"/>
        <v>601</v>
      </c>
      <c r="AO2" s="15">
        <f t="shared" si="0"/>
        <v>604</v>
      </c>
      <c r="AP2" s="15">
        <f t="shared" si="0"/>
        <v>605</v>
      </c>
      <c r="AQ2" s="15">
        <f t="shared" si="0"/>
        <v>606</v>
      </c>
      <c r="AR2" s="15">
        <f t="shared" si="0"/>
        <v>607</v>
      </c>
      <c r="AS2" s="15">
        <f t="shared" si="0"/>
        <v>609</v>
      </c>
      <c r="AT2" s="15">
        <f t="shared" si="0"/>
        <v>611</v>
      </c>
      <c r="AU2" s="15">
        <f t="shared" si="0"/>
        <v>614</v>
      </c>
      <c r="AV2" s="15">
        <f t="shared" si="0"/>
        <v>618</v>
      </c>
      <c r="AW2" s="15">
        <f aca="true" t="shared" si="1" ref="AW2:BF4">M2</f>
        <v>623</v>
      </c>
      <c r="AX2" s="15">
        <f t="shared" si="1"/>
        <v>627</v>
      </c>
      <c r="AY2" s="15">
        <f t="shared" si="1"/>
        <v>631</v>
      </c>
      <c r="AZ2" s="15">
        <f t="shared" si="1"/>
        <v>635</v>
      </c>
      <c r="BA2" s="15">
        <f t="shared" si="1"/>
        <v>639</v>
      </c>
      <c r="BB2" s="15">
        <f t="shared" si="1"/>
        <v>643</v>
      </c>
      <c r="BC2" s="15">
        <f t="shared" si="1"/>
        <v>647</v>
      </c>
      <c r="BD2" s="15">
        <f t="shared" si="1"/>
        <v>651</v>
      </c>
      <c r="BE2" s="15">
        <f t="shared" si="1"/>
        <v>655</v>
      </c>
      <c r="BF2" s="15">
        <f t="shared" si="1"/>
        <v>659</v>
      </c>
      <c r="BG2" s="15">
        <f aca="true" t="shared" si="2" ref="BG2:BP4">W2</f>
        <v>663</v>
      </c>
      <c r="BH2" s="15">
        <f t="shared" si="2"/>
        <v>667</v>
      </c>
      <c r="BI2" s="15">
        <f t="shared" si="2"/>
        <v>671</v>
      </c>
      <c r="BJ2" s="15">
        <f t="shared" si="2"/>
        <v>675</v>
      </c>
      <c r="BK2" s="15">
        <f t="shared" si="2"/>
        <v>679</v>
      </c>
      <c r="BL2" s="15">
        <f t="shared" si="2"/>
        <v>683</v>
      </c>
      <c r="BM2" s="15">
        <f t="shared" si="2"/>
        <v>687</v>
      </c>
      <c r="BN2" s="15">
        <f t="shared" si="2"/>
        <v>691</v>
      </c>
      <c r="BO2" s="15">
        <f t="shared" si="2"/>
        <v>695</v>
      </c>
      <c r="BP2" s="15">
        <f t="shared" si="2"/>
        <v>699</v>
      </c>
      <c r="BQ2" s="15">
        <f aca="true" t="shared" si="3" ref="BQ2:BT5">AG2</f>
        <v>701</v>
      </c>
      <c r="BR2" s="15">
        <f t="shared" si="3"/>
        <v>703</v>
      </c>
      <c r="BS2" s="15">
        <f t="shared" si="3"/>
        <v>707</v>
      </c>
      <c r="BT2" s="15">
        <f t="shared" si="3"/>
        <v>711</v>
      </c>
      <c r="BU2" s="7" t="s">
        <v>73</v>
      </c>
      <c r="BV2" s="6" t="s">
        <v>109</v>
      </c>
      <c r="BW2" s="13"/>
    </row>
    <row r="3" spans="1:75" ht="15">
      <c r="A3" s="4" t="s">
        <v>1</v>
      </c>
      <c r="B3" s="4" t="s">
        <v>41</v>
      </c>
      <c r="C3" s="4" t="s">
        <v>45</v>
      </c>
      <c r="D3" s="7" t="s">
        <v>45</v>
      </c>
      <c r="E3" s="7" t="s">
        <v>49</v>
      </c>
      <c r="F3" s="7" t="s">
        <v>49</v>
      </c>
      <c r="G3" s="7" t="s">
        <v>53</v>
      </c>
      <c r="H3" s="7" t="s">
        <v>53</v>
      </c>
      <c r="I3" s="7" t="s">
        <v>56</v>
      </c>
      <c r="J3" s="7" t="s">
        <v>58</v>
      </c>
      <c r="K3" s="7" t="s">
        <v>60</v>
      </c>
      <c r="L3" s="7" t="s">
        <v>62</v>
      </c>
      <c r="M3" s="7" t="s">
        <v>64</v>
      </c>
      <c r="N3" s="7" t="s">
        <v>59</v>
      </c>
      <c r="O3" s="7" t="s">
        <v>61</v>
      </c>
      <c r="P3" s="7" t="s">
        <v>69</v>
      </c>
      <c r="Q3" s="7" t="s">
        <v>72</v>
      </c>
      <c r="R3" s="7" t="s">
        <v>75</v>
      </c>
      <c r="S3" s="7" t="s">
        <v>77</v>
      </c>
      <c r="T3" s="7" t="s">
        <v>80</v>
      </c>
      <c r="U3" s="7" t="s">
        <v>82</v>
      </c>
      <c r="V3" s="7" t="s">
        <v>84</v>
      </c>
      <c r="W3" s="7" t="s">
        <v>86</v>
      </c>
      <c r="X3" s="7" t="s">
        <v>88</v>
      </c>
      <c r="Y3" s="7" t="s">
        <v>90</v>
      </c>
      <c r="Z3" s="7" t="s">
        <v>92</v>
      </c>
      <c r="AA3" s="7" t="s">
        <v>94</v>
      </c>
      <c r="AB3" s="7" t="s">
        <v>96</v>
      </c>
      <c r="AC3" s="7" t="s">
        <v>98</v>
      </c>
      <c r="AD3" s="7" t="s">
        <v>89</v>
      </c>
      <c r="AE3" s="7" t="s">
        <v>101</v>
      </c>
      <c r="AF3" s="7" t="s">
        <v>102</v>
      </c>
      <c r="AG3" s="7" t="s">
        <v>103</v>
      </c>
      <c r="AH3" s="7" t="s">
        <v>104</v>
      </c>
      <c r="AI3" s="7" t="s">
        <v>105</v>
      </c>
      <c r="AJ3" s="7" t="s">
        <v>100</v>
      </c>
      <c r="AK3" s="13"/>
      <c r="AL3" s="4" t="s">
        <v>73</v>
      </c>
      <c r="AM3" s="10" t="str">
        <f t="shared" si="0"/>
        <v>7/7/92</v>
      </c>
      <c r="AN3" s="16" t="str">
        <f t="shared" si="0"/>
        <v>7/7/92</v>
      </c>
      <c r="AO3" s="16" t="str">
        <f t="shared" si="0"/>
        <v>7/22/92</v>
      </c>
      <c r="AP3" s="16" t="str">
        <f t="shared" si="0"/>
        <v>7/22/92</v>
      </c>
      <c r="AQ3" s="16" t="str">
        <f t="shared" si="0"/>
        <v>8/6/92</v>
      </c>
      <c r="AR3" s="16" t="str">
        <f t="shared" si="0"/>
        <v>8/6/92</v>
      </c>
      <c r="AS3" s="16" t="str">
        <f t="shared" si="0"/>
        <v>8/19/92</v>
      </c>
      <c r="AT3" s="16" t="str">
        <f t="shared" si="0"/>
        <v>9/2/92</v>
      </c>
      <c r="AU3" s="16" t="str">
        <f t="shared" si="0"/>
        <v>9/16/92</v>
      </c>
      <c r="AV3" s="16" t="str">
        <f t="shared" si="0"/>
        <v>9/30/92</v>
      </c>
      <c r="AW3" s="16" t="str">
        <f t="shared" si="1"/>
        <v>10/14/92</v>
      </c>
      <c r="AX3" s="16" t="str">
        <f t="shared" si="1"/>
        <v>10/27/92</v>
      </c>
      <c r="AY3" s="16" t="str">
        <f t="shared" si="1"/>
        <v>11/10/92</v>
      </c>
      <c r="AZ3" s="16" t="str">
        <f t="shared" si="1"/>
        <v>11/23/92</v>
      </c>
      <c r="BA3" s="16" t="str">
        <f t="shared" si="1"/>
        <v>12/7/92</v>
      </c>
      <c r="BB3" s="16" t="str">
        <f t="shared" si="1"/>
        <v>12/21/92</v>
      </c>
      <c r="BC3" s="16" t="str">
        <f t="shared" si="1"/>
        <v>1/6/93</v>
      </c>
      <c r="BD3" s="16" t="str">
        <f t="shared" si="1"/>
        <v>1/20/93</v>
      </c>
      <c r="BE3" s="16" t="str">
        <f t="shared" si="1"/>
        <v>2/2/93</v>
      </c>
      <c r="BF3" s="16" t="str">
        <f t="shared" si="1"/>
        <v>2/15/93</v>
      </c>
      <c r="BG3" s="16" t="str">
        <f t="shared" si="2"/>
        <v>3/2/93</v>
      </c>
      <c r="BH3" s="16" t="str">
        <f t="shared" si="2"/>
        <v>3/16/93</v>
      </c>
      <c r="BI3" s="16" t="str">
        <f t="shared" si="2"/>
        <v>3/30/93</v>
      </c>
      <c r="BJ3" s="16" t="str">
        <f t="shared" si="2"/>
        <v>4/14/93</v>
      </c>
      <c r="BK3" s="16" t="str">
        <f t="shared" si="2"/>
        <v>4/27/93</v>
      </c>
      <c r="BL3" s="16" t="str">
        <f t="shared" si="2"/>
        <v>5/13/93</v>
      </c>
      <c r="BM3" s="16" t="str">
        <f t="shared" si="2"/>
        <v>5/26/93</v>
      </c>
      <c r="BN3" s="16" t="str">
        <f t="shared" si="2"/>
        <v>6/9/93</v>
      </c>
      <c r="BO3" s="16" t="str">
        <f t="shared" si="2"/>
        <v>6/23/93</v>
      </c>
      <c r="BP3" s="16" t="str">
        <f t="shared" si="2"/>
        <v>7/7/93</v>
      </c>
      <c r="BQ3" s="16" t="str">
        <f t="shared" si="3"/>
        <v> 7/22/93</v>
      </c>
      <c r="BR3" s="16" t="str">
        <f t="shared" si="3"/>
        <v> 8/4/93</v>
      </c>
      <c r="BS3" s="16" t="str">
        <f t="shared" si="3"/>
        <v> 8/18/93</v>
      </c>
      <c r="BT3" s="16" t="str">
        <f t="shared" si="3"/>
        <v> 9/1/93</v>
      </c>
      <c r="BU3" s="7" t="s">
        <v>73</v>
      </c>
      <c r="BV3" s="7" t="s">
        <v>110</v>
      </c>
      <c r="BW3" s="13"/>
    </row>
    <row r="4" spans="1:75" ht="15">
      <c r="A4" s="4" t="s">
        <v>2</v>
      </c>
      <c r="B4" s="4" t="s">
        <v>42</v>
      </c>
      <c r="C4" s="10">
        <v>360</v>
      </c>
      <c r="D4" s="16">
        <v>360</v>
      </c>
      <c r="E4" s="16">
        <v>360</v>
      </c>
      <c r="F4" s="16">
        <v>360</v>
      </c>
      <c r="G4" s="16">
        <v>311.833</v>
      </c>
      <c r="H4" s="16">
        <v>311.833</v>
      </c>
      <c r="I4" s="16">
        <v>336.42</v>
      </c>
      <c r="J4" s="16">
        <v>335.25</v>
      </c>
      <c r="K4" s="16">
        <v>335.667</v>
      </c>
      <c r="L4" s="16">
        <v>335.5</v>
      </c>
      <c r="M4" s="16">
        <v>311.75</v>
      </c>
      <c r="N4" s="16">
        <v>329.08</v>
      </c>
      <c r="O4" s="16">
        <v>317.42</v>
      </c>
      <c r="P4" s="16">
        <v>334.75</v>
      </c>
      <c r="Q4" s="16">
        <v>334.5</v>
      </c>
      <c r="R4" s="16">
        <v>381.5</v>
      </c>
      <c r="S4" s="16">
        <v>333.58</v>
      </c>
      <c r="T4" s="16">
        <v>311.5</v>
      </c>
      <c r="U4" s="16">
        <v>307.17</v>
      </c>
      <c r="V4" s="16">
        <v>360.58</v>
      </c>
      <c r="W4" s="16">
        <v>336.5</v>
      </c>
      <c r="X4" s="16">
        <v>337</v>
      </c>
      <c r="Y4" s="16">
        <v>359.5</v>
      </c>
      <c r="Z4" s="16">
        <v>313.92</v>
      </c>
      <c r="AA4" s="16">
        <v>382.17</v>
      </c>
      <c r="AB4" s="16">
        <v>311.58</v>
      </c>
      <c r="AC4" s="16">
        <v>337.75</v>
      </c>
      <c r="AD4" s="16">
        <v>334.25</v>
      </c>
      <c r="AE4" s="16">
        <v>339.75</v>
      </c>
      <c r="AF4" s="16">
        <v>354.08</v>
      </c>
      <c r="AG4" s="16">
        <v>314.75</v>
      </c>
      <c r="AH4" s="16">
        <v>334.33</v>
      </c>
      <c r="AI4" s="16">
        <v>335.58</v>
      </c>
      <c r="AJ4" s="16">
        <v>313.17</v>
      </c>
      <c r="AK4" s="13"/>
      <c r="AL4" s="4" t="s">
        <v>73</v>
      </c>
      <c r="AM4" s="10">
        <f t="shared" si="0"/>
        <v>360</v>
      </c>
      <c r="AN4" s="16">
        <f t="shared" si="0"/>
        <v>360</v>
      </c>
      <c r="AO4" s="16">
        <f t="shared" si="0"/>
        <v>360</v>
      </c>
      <c r="AP4" s="16">
        <f t="shared" si="0"/>
        <v>360</v>
      </c>
      <c r="AQ4" s="16">
        <f t="shared" si="0"/>
        <v>311.833</v>
      </c>
      <c r="AR4" s="16">
        <f t="shared" si="0"/>
        <v>311.833</v>
      </c>
      <c r="AS4" s="16">
        <f t="shared" si="0"/>
        <v>336.42</v>
      </c>
      <c r="AT4" s="16">
        <f t="shared" si="0"/>
        <v>335.25</v>
      </c>
      <c r="AU4" s="16">
        <f t="shared" si="0"/>
        <v>335.667</v>
      </c>
      <c r="AV4" s="16">
        <f t="shared" si="0"/>
        <v>335.5</v>
      </c>
      <c r="AW4" s="16">
        <f t="shared" si="1"/>
        <v>311.75</v>
      </c>
      <c r="AX4" s="16">
        <f t="shared" si="1"/>
        <v>329.08</v>
      </c>
      <c r="AY4" s="16">
        <f t="shared" si="1"/>
        <v>317.42</v>
      </c>
      <c r="AZ4" s="16">
        <f t="shared" si="1"/>
        <v>334.75</v>
      </c>
      <c r="BA4" s="16">
        <f t="shared" si="1"/>
        <v>334.5</v>
      </c>
      <c r="BB4" s="16">
        <f t="shared" si="1"/>
        <v>381.5</v>
      </c>
      <c r="BC4" s="16">
        <f t="shared" si="1"/>
        <v>333.58</v>
      </c>
      <c r="BD4" s="16">
        <f t="shared" si="1"/>
        <v>311.5</v>
      </c>
      <c r="BE4" s="16">
        <f t="shared" si="1"/>
        <v>307.17</v>
      </c>
      <c r="BF4" s="16">
        <f t="shared" si="1"/>
        <v>360.58</v>
      </c>
      <c r="BG4" s="16">
        <f t="shared" si="2"/>
        <v>336.5</v>
      </c>
      <c r="BH4" s="16">
        <f t="shared" si="2"/>
        <v>337</v>
      </c>
      <c r="BI4" s="16">
        <f t="shared" si="2"/>
        <v>359.5</v>
      </c>
      <c r="BJ4" s="16">
        <f t="shared" si="2"/>
        <v>313.92</v>
      </c>
      <c r="BK4" s="16">
        <f t="shared" si="2"/>
        <v>382.17</v>
      </c>
      <c r="BL4" s="16">
        <f t="shared" si="2"/>
        <v>311.58</v>
      </c>
      <c r="BM4" s="16">
        <f t="shared" si="2"/>
        <v>337.75</v>
      </c>
      <c r="BN4" s="16">
        <f t="shared" si="2"/>
        <v>334.25</v>
      </c>
      <c r="BO4" s="16">
        <f t="shared" si="2"/>
        <v>339.75</v>
      </c>
      <c r="BP4" s="16">
        <f t="shared" si="2"/>
        <v>354.08</v>
      </c>
      <c r="BQ4" s="16">
        <f t="shared" si="3"/>
        <v>314.75</v>
      </c>
      <c r="BR4" s="16">
        <f t="shared" si="3"/>
        <v>334.33</v>
      </c>
      <c r="BS4" s="16">
        <f t="shared" si="3"/>
        <v>335.58</v>
      </c>
      <c r="BT4" s="16">
        <f t="shared" si="3"/>
        <v>313.17</v>
      </c>
      <c r="BU4" s="7" t="s">
        <v>73</v>
      </c>
      <c r="BV4" s="28" t="s">
        <v>111</v>
      </c>
      <c r="BW4" s="16">
        <f>SUM(AM4:BT4)-AN4-AR4-AP4</f>
        <v>10400.829999999998</v>
      </c>
    </row>
    <row r="5" spans="1:75" ht="15">
      <c r="A5" s="4" t="s">
        <v>3</v>
      </c>
      <c r="B5" s="4" t="s">
        <v>43</v>
      </c>
      <c r="C5" s="10">
        <v>1.11</v>
      </c>
      <c r="D5" s="16">
        <v>1.11</v>
      </c>
      <c r="E5" s="16">
        <v>0.98</v>
      </c>
      <c r="F5" s="16">
        <v>0.98</v>
      </c>
      <c r="G5" s="16">
        <v>4.41</v>
      </c>
      <c r="H5" s="16">
        <v>4.41</v>
      </c>
      <c r="I5" s="16">
        <v>0.56</v>
      </c>
      <c r="J5" s="16">
        <v>1.37</v>
      </c>
      <c r="K5" s="16">
        <v>1.87</v>
      </c>
      <c r="L5" s="16">
        <v>1.19</v>
      </c>
      <c r="M5" s="16">
        <v>0.54</v>
      </c>
      <c r="N5" s="16">
        <v>1</v>
      </c>
      <c r="O5" s="16">
        <v>2.74</v>
      </c>
      <c r="P5" s="16">
        <v>1.34</v>
      </c>
      <c r="Q5" s="16">
        <v>7.99</v>
      </c>
      <c r="R5" s="16">
        <v>1.53</v>
      </c>
      <c r="S5" s="16">
        <v>0.5</v>
      </c>
      <c r="T5" s="16">
        <v>0.46</v>
      </c>
      <c r="U5" s="16">
        <v>2.39</v>
      </c>
      <c r="V5" s="16">
        <v>1.54</v>
      </c>
      <c r="W5" s="16">
        <v>0.77</v>
      </c>
      <c r="X5" s="16">
        <v>3.39</v>
      </c>
      <c r="Y5" s="16">
        <v>1.82</v>
      </c>
      <c r="Z5" s="16">
        <v>2.12</v>
      </c>
      <c r="AA5" s="16">
        <v>0.12</v>
      </c>
      <c r="AB5" s="16">
        <v>0.57</v>
      </c>
      <c r="AC5" s="16">
        <v>1.18</v>
      </c>
      <c r="AD5" s="16">
        <v>0.64</v>
      </c>
      <c r="AE5" s="16">
        <v>0.09</v>
      </c>
      <c r="AF5" s="16">
        <v>0.33</v>
      </c>
      <c r="AG5" s="16">
        <v>1.03</v>
      </c>
      <c r="AH5" s="16">
        <v>0.58</v>
      </c>
      <c r="AI5" s="16">
        <v>0.34</v>
      </c>
      <c r="AJ5" s="16">
        <v>1.55</v>
      </c>
      <c r="AK5" s="13"/>
      <c r="AL5" s="4" t="s">
        <v>107</v>
      </c>
      <c r="AM5" s="10">
        <f aca="true" t="shared" si="4" ref="AM5:BM5">C5</f>
        <v>1.11</v>
      </c>
      <c r="AN5" s="16">
        <f t="shared" si="4"/>
        <v>1.11</v>
      </c>
      <c r="AO5" s="16">
        <f t="shared" si="4"/>
        <v>0.98</v>
      </c>
      <c r="AP5" s="16">
        <f t="shared" si="4"/>
        <v>0.98</v>
      </c>
      <c r="AQ5" s="16">
        <f t="shared" si="4"/>
        <v>4.41</v>
      </c>
      <c r="AR5" s="16">
        <f t="shared" si="4"/>
        <v>4.41</v>
      </c>
      <c r="AS5" s="16">
        <f t="shared" si="4"/>
        <v>0.56</v>
      </c>
      <c r="AT5" s="16">
        <f t="shared" si="4"/>
        <v>1.37</v>
      </c>
      <c r="AU5" s="16">
        <f t="shared" si="4"/>
        <v>1.87</v>
      </c>
      <c r="AV5" s="16">
        <f t="shared" si="4"/>
        <v>1.19</v>
      </c>
      <c r="AW5" s="16">
        <f t="shared" si="4"/>
        <v>0.54</v>
      </c>
      <c r="AX5" s="16">
        <f t="shared" si="4"/>
        <v>1</v>
      </c>
      <c r="AY5" s="16">
        <f t="shared" si="4"/>
        <v>2.74</v>
      </c>
      <c r="AZ5" s="16">
        <f t="shared" si="4"/>
        <v>1.34</v>
      </c>
      <c r="BA5" s="16">
        <f t="shared" si="4"/>
        <v>7.99</v>
      </c>
      <c r="BB5" s="16">
        <f t="shared" si="4"/>
        <v>1.53</v>
      </c>
      <c r="BC5" s="16">
        <f t="shared" si="4"/>
        <v>0.5</v>
      </c>
      <c r="BD5" s="16">
        <f t="shared" si="4"/>
        <v>0.46</v>
      </c>
      <c r="BE5" s="16">
        <f t="shared" si="4"/>
        <v>2.39</v>
      </c>
      <c r="BF5" s="16">
        <f t="shared" si="4"/>
        <v>1.54</v>
      </c>
      <c r="BG5" s="16">
        <f t="shared" si="4"/>
        <v>0.77</v>
      </c>
      <c r="BH5" s="16">
        <f t="shared" si="4"/>
        <v>3.39</v>
      </c>
      <c r="BI5" s="16">
        <f t="shared" si="4"/>
        <v>1.82</v>
      </c>
      <c r="BJ5" s="16">
        <f t="shared" si="4"/>
        <v>2.12</v>
      </c>
      <c r="BK5" s="16">
        <f t="shared" si="4"/>
        <v>0.12</v>
      </c>
      <c r="BL5" s="16">
        <f t="shared" si="4"/>
        <v>0.57</v>
      </c>
      <c r="BM5" s="16">
        <f t="shared" si="4"/>
        <v>1.18</v>
      </c>
      <c r="BN5" s="16">
        <v>0.32</v>
      </c>
      <c r="BO5" s="16">
        <v>0.26</v>
      </c>
      <c r="BP5" s="16">
        <f>AF5</f>
        <v>0.33</v>
      </c>
      <c r="BQ5" s="16">
        <f t="shared" si="3"/>
        <v>1.03</v>
      </c>
      <c r="BR5" s="16">
        <f t="shared" si="3"/>
        <v>0.58</v>
      </c>
      <c r="BS5" s="16">
        <f t="shared" si="3"/>
        <v>0.34</v>
      </c>
      <c r="BT5" s="16">
        <f t="shared" si="3"/>
        <v>1.55</v>
      </c>
      <c r="BU5" s="7" t="s">
        <v>73</v>
      </c>
      <c r="BV5" s="7" t="s">
        <v>112</v>
      </c>
      <c r="BW5" s="13"/>
    </row>
    <row r="6" spans="1:74" ht="15">
      <c r="A6" s="5"/>
      <c r="B6" s="5"/>
      <c r="C6" s="5"/>
      <c r="D6" s="12"/>
      <c r="E6" s="6" t="s">
        <v>50</v>
      </c>
      <c r="F6" s="6" t="s">
        <v>48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3"/>
      <c r="AL6" s="5"/>
      <c r="AM6" s="5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3"/>
      <c r="BV6" s="29" t="s">
        <v>113</v>
      </c>
    </row>
    <row r="7" spans="1:75" ht="15">
      <c r="A7" s="4" t="s">
        <v>4</v>
      </c>
      <c r="B7" s="10">
        <v>500</v>
      </c>
      <c r="C7" s="10">
        <f>11330+171119+14199</f>
        <v>196648</v>
      </c>
      <c r="D7" s="16">
        <v>331519</v>
      </c>
      <c r="E7" s="16">
        <v>71470</v>
      </c>
      <c r="F7" s="13"/>
      <c r="G7" s="16">
        <v>136202</v>
      </c>
      <c r="H7" s="16">
        <v>315507</v>
      </c>
      <c r="I7" s="16">
        <v>395531</v>
      </c>
      <c r="J7" s="16">
        <v>93773</v>
      </c>
      <c r="K7" s="16">
        <v>83121</v>
      </c>
      <c r="L7" s="16">
        <f>70911+97756+45463</f>
        <v>214130</v>
      </c>
      <c r="M7" s="16">
        <f>3003+35151+97734+11130+8484</f>
        <v>155502</v>
      </c>
      <c r="N7" s="16">
        <f>78449+35220</f>
        <v>113669</v>
      </c>
      <c r="O7" s="16">
        <f>21141+131228</f>
        <v>152369</v>
      </c>
      <c r="P7" s="16">
        <v>182099</v>
      </c>
      <c r="Q7" s="7" t="s">
        <v>73</v>
      </c>
      <c r="R7" s="16">
        <v>445281</v>
      </c>
      <c r="S7" s="16">
        <v>219412</v>
      </c>
      <c r="T7" s="16">
        <v>161082</v>
      </c>
      <c r="U7" s="16">
        <v>292078</v>
      </c>
      <c r="V7" s="16">
        <v>244506</v>
      </c>
      <c r="W7" s="16">
        <f>252850+19689</f>
        <v>272539</v>
      </c>
      <c r="X7" s="16">
        <v>113128</v>
      </c>
      <c r="Y7" s="16">
        <v>99260</v>
      </c>
      <c r="Z7" s="16">
        <v>468623</v>
      </c>
      <c r="AA7" s="16">
        <v>541651</v>
      </c>
      <c r="AB7" s="16">
        <f>527882+198042</f>
        <v>725924</v>
      </c>
      <c r="AC7" s="16">
        <v>503814</v>
      </c>
      <c r="AD7" s="16">
        <v>733165</v>
      </c>
      <c r="AE7" s="16">
        <v>388366</v>
      </c>
      <c r="AF7" s="16">
        <v>685132</v>
      </c>
      <c r="AG7" s="16">
        <v>211676</v>
      </c>
      <c r="AH7" s="16">
        <v>140205</v>
      </c>
      <c r="AI7" s="16">
        <f>62730+464517</f>
        <v>527247</v>
      </c>
      <c r="AJ7" s="16">
        <f>7227+141452+15293</f>
        <v>163972</v>
      </c>
      <c r="AK7" s="13"/>
      <c r="AL7" s="10">
        <v>0</v>
      </c>
      <c r="AM7" s="19">
        <f aca="true" t="shared" si="5" ref="AM7:AM38">IF(C7-$AL7&lt;0.0001,"ND",(C7-$AL7)/(0.06413*AM$4))</f>
        <v>8517.767728745428</v>
      </c>
      <c r="AN7" s="26">
        <f aca="true" t="shared" si="6" ref="AN7:AN38">IF(D7-$AL7&lt;0.0001,"ND",(D7-$AL7)/(0.06413*AN$4))</f>
        <v>14359.677391409808</v>
      </c>
      <c r="AO7" s="26">
        <f aca="true" t="shared" si="7" ref="AO7:AO38">IF(E7-$AL7&lt;0.0001,"ND",(E7-$AL7)/(0.06413*AO$4))</f>
        <v>3095.708370150908</v>
      </c>
      <c r="AP7" s="26" t="str">
        <f aca="true" t="shared" si="8" ref="AP7:AP38">IF(F7-$AL7&lt;0.0001,"ND",(F7-$AL7)/(0.06413*AP$4))</f>
        <v>ND</v>
      </c>
      <c r="AQ7" s="26">
        <f aca="true" t="shared" si="9" ref="AQ7:AQ38">IF(G7-$AL7&lt;0.0001,"ND",(G7-$AL7)/(0.06413*AQ$4))</f>
        <v>6810.832065689996</v>
      </c>
      <c r="AR7" s="26">
        <f aca="true" t="shared" si="10" ref="AR7:AR38">IF(H7-$AL7&lt;0.0001,"ND",(H7-$AL7)/(0.06413*AR$4))</f>
        <v>15777.045803656727</v>
      </c>
      <c r="AS7" s="26">
        <f aca="true" t="shared" si="11" ref="AS7:AS38">IF(I7-$AL7&lt;0.0001,"ND",(I7-$AL7)/(0.06413*AS$4))</f>
        <v>18333.16642421042</v>
      </c>
      <c r="AT7" s="26">
        <f aca="true" t="shared" si="12" ref="AT7:AT38">IF(J7-$AL7&lt;0.0001,"ND",(J7-$AL7)/(0.06413*AT$4))</f>
        <v>4361.619580287198</v>
      </c>
      <c r="AU7" s="26">
        <f aca="true" t="shared" si="13" ref="AU7:AU38">IF(K7-$AL7&lt;0.0001,"ND",(K7-$AL7)/(0.06413*AU$4))</f>
        <v>3861.365148012765</v>
      </c>
      <c r="AV7" s="26">
        <f aca="true" t="shared" si="14" ref="AV7:AV38">IF(L7-$AL7&lt;0.0001,"ND",(L7-$AL7)/(0.06413*AV$4))</f>
        <v>9952.30673164583</v>
      </c>
      <c r="AW7" s="26">
        <f aca="true" t="shared" si="15" ref="AW7:AW38">IF(M7-$AL7&lt;0.0001,"ND",(M7-$AL7)/(0.06413*AW$4))</f>
        <v>7778.0060575132375</v>
      </c>
      <c r="AX7" s="26">
        <f aca="true" t="shared" si="16" ref="AX7:AX38">IF(N7-$AL7&lt;0.0001,"ND",(N7-$AL7)/(0.06413*AX$4))</f>
        <v>5386.160749697246</v>
      </c>
      <c r="AY7" s="26">
        <f aca="true" t="shared" si="17" ref="AY7:AY38">IF(O7-$AL7&lt;0.0001,"ND",(O7-$AL7)/(0.06413*AY$4))</f>
        <v>7485.160033693216</v>
      </c>
      <c r="AZ7" s="26">
        <f aca="true" t="shared" si="18" ref="AZ7:AZ38">IF(P7-$AL7&lt;0.0001,"ND",(P7-$AL7)/(0.06413*AZ$4))</f>
        <v>8482.536464684375</v>
      </c>
      <c r="BA7" s="26" t="str">
        <f aca="true" t="shared" si="19" ref="BA7:BA38">IF(Q7-$AL7&lt;0.0001,"ND",(Q7-$AL7)/(0.06413*BA$4))</f>
        <v>ND</v>
      </c>
      <c r="BB7" s="26">
        <f aca="true" t="shared" si="20" ref="BB7:BB38">IF(R7-$AL7&lt;0.0001,"ND",(R7-$AL7)/(0.06413*BB$4))</f>
        <v>18200.29310548139</v>
      </c>
      <c r="BC7" s="26">
        <f aca="true" t="shared" si="21" ref="BC7:BC38">IF(S7-$AL7&lt;0.0001,"ND",(S7-$AL7)/(0.06413*BC$4))</f>
        <v>10256.498761008854</v>
      </c>
      <c r="BD7" s="26">
        <f aca="true" t="shared" si="22" ref="BD7:BD38">IF(T7-$AL7&lt;0.0001,"ND",(T7-$AL7)/(0.06413*BD$4))</f>
        <v>8063.576718538461</v>
      </c>
      <c r="BE7" s="26">
        <f aca="true" t="shared" si="23" ref="BE7:BE38">IF(U7-$AL7&lt;0.0001,"ND",(U7-$AL7)/(0.06413*BE$4))</f>
        <v>14827.188488183</v>
      </c>
      <c r="BF7" s="26">
        <f aca="true" t="shared" si="24" ref="BF7:BF38">IF(V7-$AL7&lt;0.0001,"ND",(V7-$AL7)/(0.06413*BF$4))</f>
        <v>10573.691776465237</v>
      </c>
      <c r="BG7" s="26">
        <f aca="true" t="shared" si="25" ref="BG7:BG38">IF(W7-$AL7&lt;0.0001,"ND",(W7-$AL7)/(0.06413*BG$4))</f>
        <v>12629.38927220873</v>
      </c>
      <c r="BH7" s="26">
        <f aca="true" t="shared" si="26" ref="BH7:BH38">IF(X7-$AL7&lt;0.0001,"ND",(X7-$AL7)/(0.06413*BH$4))</f>
        <v>5234.545371257659</v>
      </c>
      <c r="BI7" s="26">
        <f aca="true" t="shared" si="27" ref="BI7:BI38">IF(Y7-$AL7&lt;0.0001,"ND",(Y7-$AL7)/(0.06413*BI$4))</f>
        <v>4305.406243012552</v>
      </c>
      <c r="BJ7" s="26">
        <f aca="true" t="shared" si="28" ref="BJ7:BJ38">IF(Z7-$AL7&lt;0.0001,"ND",(Z7-$AL7)/(0.06413*BJ$4))</f>
        <v>23277.87728259033</v>
      </c>
      <c r="BK7" s="26">
        <f aca="true" t="shared" si="29" ref="BK7:BK38">IF(AA7-$AL7&lt;0.0001,"ND",(AA7-$AL7)/(0.06413*BK$4))</f>
        <v>22100.4805500197</v>
      </c>
      <c r="BL7" s="26">
        <f aca="true" t="shared" si="30" ref="BL7:BL38">IF(AB7-$AL7&lt;0.0001,"ND",(AB7-$AL7)/(0.06413*BL$4))</f>
        <v>36329.57707234367</v>
      </c>
      <c r="BM7" s="26">
        <f aca="true" t="shared" si="31" ref="BM7:BM38">IF(AC7-$AL7&lt;0.0001,"ND",(AC7-$AL7)/(0.06413*BM$4))</f>
        <v>23260.21013709315</v>
      </c>
      <c r="BN7" s="26">
        <f aca="true" t="shared" si="32" ref="BN7:BN38">IF(AD7-$AL7&lt;0.0001,"ND",(AD7-$AL7)/(0.06413*BN$4))</f>
        <v>34203.38339020368</v>
      </c>
      <c r="BO7" s="26">
        <f aca="true" t="shared" si="33" ref="BO7:BO38">IF(AE7-$AL7&lt;0.0001,"ND",(AE7-$AL7)/(0.06413*BO$4))</f>
        <v>17824.628895477323</v>
      </c>
      <c r="BP7" s="26">
        <f aca="true" t="shared" si="34" ref="BP7:BP38">IF(AF7-$AL7&lt;0.0001,"ND",(AF7-$AL7)/(0.06413*BP$4))</f>
        <v>30172.522220137318</v>
      </c>
      <c r="BQ7" s="26">
        <f aca="true" t="shared" si="35" ref="BQ7:BQ38">IF(AG7-$AL7&lt;0.0001,"ND",(AG7-$AL7)/(0.06413*BQ$4))</f>
        <v>10486.839988322963</v>
      </c>
      <c r="BR7" s="26">
        <f aca="true" t="shared" si="36" ref="BR7:BR38">IF(AH7-$AL7&lt;0.0001,"ND",(AH7-$AL7)/(0.06413*BR$4))</f>
        <v>6539.2345279941055</v>
      </c>
      <c r="BS7" s="26">
        <f aca="true" t="shared" si="37" ref="BS7:BS38">IF(AI7-$AL7&lt;0.0001,"ND",(AI7-$AL7)/(0.06413*BS$4))</f>
        <v>24499.476677048555</v>
      </c>
      <c r="BT7" s="26">
        <f aca="true" t="shared" si="38" ref="BT7:BT38">IF(AJ7-$AL7&lt;0.0001,"ND",(AJ7-$AL7)/(0.06413*BT$4))</f>
        <v>8164.475716473049</v>
      </c>
      <c r="BU7" s="7" t="s">
        <v>73</v>
      </c>
      <c r="BV7" s="30">
        <f aca="true" t="shared" si="39" ref="BV7:BV41">(SUM(AM7:BT7)-AN7-AR7-AP7)/30*8.76</f>
        <v>118264.06626007159</v>
      </c>
      <c r="BW7" s="30">
        <f>(SUM(AM7:BT7)-AN7-AR7)*8.76</f>
        <v>3547921.9878021474</v>
      </c>
    </row>
    <row r="8" spans="1:75" ht="15">
      <c r="A8" s="4" t="s">
        <v>5</v>
      </c>
      <c r="B8" s="10">
        <v>200</v>
      </c>
      <c r="C8" s="10">
        <f>5538+51064+5324</f>
        <v>61926</v>
      </c>
      <c r="D8" s="16">
        <v>42293</v>
      </c>
      <c r="E8" s="16">
        <v>16439</v>
      </c>
      <c r="F8" s="13"/>
      <c r="G8" s="16">
        <v>142618</v>
      </c>
      <c r="H8" s="16">
        <v>132056</v>
      </c>
      <c r="I8" s="16">
        <v>179382</v>
      </c>
      <c r="J8" s="16">
        <v>36937</v>
      </c>
      <c r="K8" s="16">
        <v>34011</v>
      </c>
      <c r="L8" s="16">
        <f>24513+44505+15643</f>
        <v>84661</v>
      </c>
      <c r="M8" s="16">
        <f>2200+11191+30233+4051+3063</f>
        <v>50738</v>
      </c>
      <c r="N8" s="16">
        <f>29832+17050</f>
        <v>46882</v>
      </c>
      <c r="O8" s="16">
        <f>7681+45177</f>
        <v>52858</v>
      </c>
      <c r="P8" s="16">
        <v>79145</v>
      </c>
      <c r="Q8" s="7" t="s">
        <v>73</v>
      </c>
      <c r="R8" s="16">
        <v>187117</v>
      </c>
      <c r="S8" s="16">
        <v>99236</v>
      </c>
      <c r="T8" s="16">
        <v>41526</v>
      </c>
      <c r="U8" s="16">
        <v>131253</v>
      </c>
      <c r="V8" s="16">
        <v>101157</v>
      </c>
      <c r="W8" s="16">
        <f>107720+10171</f>
        <v>117891</v>
      </c>
      <c r="X8" s="16">
        <v>45424</v>
      </c>
      <c r="Y8" s="16">
        <v>47942</v>
      </c>
      <c r="Z8" s="16">
        <v>208053</v>
      </c>
      <c r="AA8" s="16">
        <v>235780</v>
      </c>
      <c r="AB8" s="16">
        <f>230755+81378</f>
        <v>312133</v>
      </c>
      <c r="AC8" s="16">
        <v>240355</v>
      </c>
      <c r="AD8" s="16">
        <v>318919</v>
      </c>
      <c r="AE8" s="16">
        <v>168338</v>
      </c>
      <c r="AF8" s="16">
        <v>304651</v>
      </c>
      <c r="AG8" s="16">
        <v>112937</v>
      </c>
      <c r="AH8" s="16">
        <v>61701</v>
      </c>
      <c r="AI8" s="16">
        <f>25512+174235</f>
        <v>199747</v>
      </c>
      <c r="AJ8" s="16">
        <f>6554+52245+6810</f>
        <v>65609</v>
      </c>
      <c r="AK8" s="13"/>
      <c r="AL8" s="10">
        <v>2039</v>
      </c>
      <c r="AM8" s="19">
        <f t="shared" si="5"/>
        <v>2593.9931042846993</v>
      </c>
      <c r="AN8" s="26">
        <f t="shared" si="6"/>
        <v>1743.5937418784758</v>
      </c>
      <c r="AO8" s="26">
        <f t="shared" si="7"/>
        <v>623.7330422579136</v>
      </c>
      <c r="AP8" s="26" t="str">
        <f t="shared" si="8"/>
        <v>ND</v>
      </c>
      <c r="AQ8" s="26">
        <f t="shared" si="9"/>
        <v>7029.705591420346</v>
      </c>
      <c r="AR8" s="26">
        <f t="shared" si="10"/>
        <v>6501.548822225931</v>
      </c>
      <c r="AS8" s="26">
        <f t="shared" si="11"/>
        <v>8219.984610988136</v>
      </c>
      <c r="AT8" s="26">
        <f t="shared" si="12"/>
        <v>1623.194310866269</v>
      </c>
      <c r="AU8" s="26">
        <f t="shared" si="13"/>
        <v>1485.251218251274</v>
      </c>
      <c r="AV8" s="26">
        <f t="shared" si="14"/>
        <v>3840.0947404942867</v>
      </c>
      <c r="AW8" s="26">
        <f t="shared" si="15"/>
        <v>2435.8600982292005</v>
      </c>
      <c r="AX8" s="26">
        <f t="shared" si="16"/>
        <v>2124.8678751345888</v>
      </c>
      <c r="AY8" s="26">
        <f t="shared" si="17"/>
        <v>2496.494350899826</v>
      </c>
      <c r="AZ8" s="26">
        <f t="shared" si="18"/>
        <v>3591.7520505107304</v>
      </c>
      <c r="BA8" s="26" t="str">
        <f t="shared" si="19"/>
        <v>ND</v>
      </c>
      <c r="BB8" s="26">
        <f t="shared" si="20"/>
        <v>7564.827260485591</v>
      </c>
      <c r="BC8" s="26">
        <f t="shared" si="21"/>
        <v>4543.511339734278</v>
      </c>
      <c r="BD8" s="26">
        <f t="shared" si="22"/>
        <v>1976.6730850431966</v>
      </c>
      <c r="BE8" s="26">
        <f t="shared" si="23"/>
        <v>6559.481827840776</v>
      </c>
      <c r="BF8" s="26">
        <f t="shared" si="24"/>
        <v>4286.369992964105</v>
      </c>
      <c r="BG8" s="26">
        <f t="shared" si="25"/>
        <v>5368.552779469822</v>
      </c>
      <c r="BH8" s="26">
        <f t="shared" si="26"/>
        <v>2007.4672135281587</v>
      </c>
      <c r="BI8" s="26">
        <f t="shared" si="27"/>
        <v>1991.044355964187</v>
      </c>
      <c r="BJ8" s="26">
        <f t="shared" si="28"/>
        <v>10233.31891626225</v>
      </c>
      <c r="BK8" s="26">
        <f t="shared" si="29"/>
        <v>9537.116010571668</v>
      </c>
      <c r="BL8" s="26">
        <f t="shared" si="30"/>
        <v>15518.957732037154</v>
      </c>
      <c r="BM8" s="26">
        <f t="shared" si="31"/>
        <v>11002.632398130047</v>
      </c>
      <c r="BN8" s="26">
        <f t="shared" si="32"/>
        <v>14782.986270058911</v>
      </c>
      <c r="BO8" s="26">
        <f t="shared" si="33"/>
        <v>7632.537247567973</v>
      </c>
      <c r="BP8" s="26">
        <f t="shared" si="34"/>
        <v>13326.727249756535</v>
      </c>
      <c r="BQ8" s="26">
        <f t="shared" si="35"/>
        <v>5494.102217658308</v>
      </c>
      <c r="BR8" s="26">
        <f t="shared" si="36"/>
        <v>2782.6668835575356</v>
      </c>
      <c r="BS8" s="26">
        <f t="shared" si="37"/>
        <v>9186.85651102029</v>
      </c>
      <c r="BT8" s="26">
        <f t="shared" si="38"/>
        <v>3165.270419926522</v>
      </c>
      <c r="BU8" s="7" t="s">
        <v>73</v>
      </c>
      <c r="BV8" s="31">
        <f t="shared" si="39"/>
        <v>50523.60096583504</v>
      </c>
      <c r="BW8" s="31">
        <f>(SUM(AM8:BT8)-AN8-AR8)*8.76</f>
        <v>1515708.0289750514</v>
      </c>
    </row>
    <row r="9" spans="1:75" ht="15">
      <c r="A9" s="4" t="s">
        <v>6</v>
      </c>
      <c r="B9" s="10">
        <v>2000</v>
      </c>
      <c r="C9" s="10">
        <v>0</v>
      </c>
      <c r="D9" s="16">
        <v>0</v>
      </c>
      <c r="E9" s="13"/>
      <c r="F9" s="13"/>
      <c r="G9" s="16">
        <v>0</v>
      </c>
      <c r="H9" s="16">
        <v>0</v>
      </c>
      <c r="I9" s="16">
        <v>0</v>
      </c>
      <c r="J9" s="16">
        <v>0</v>
      </c>
      <c r="K9" s="16">
        <v>40235</v>
      </c>
      <c r="L9" s="16">
        <v>0</v>
      </c>
      <c r="M9" s="16">
        <v>0</v>
      </c>
      <c r="N9" s="16">
        <v>45484</v>
      </c>
      <c r="O9" s="13"/>
      <c r="P9" s="16">
        <v>0</v>
      </c>
      <c r="Q9" s="7" t="s">
        <v>73</v>
      </c>
      <c r="R9" s="13"/>
      <c r="S9" s="16">
        <v>155155</v>
      </c>
      <c r="T9" s="13"/>
      <c r="U9" s="13"/>
      <c r="V9" s="16">
        <v>164037</v>
      </c>
      <c r="W9" s="16">
        <v>161853</v>
      </c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0">
        <v>0</v>
      </c>
      <c r="AM9" s="19" t="str">
        <f t="shared" si="5"/>
        <v>ND</v>
      </c>
      <c r="AN9" s="26" t="str">
        <f t="shared" si="6"/>
        <v>ND</v>
      </c>
      <c r="AO9" s="26" t="str">
        <f t="shared" si="7"/>
        <v>ND</v>
      </c>
      <c r="AP9" s="26" t="str">
        <f t="shared" si="8"/>
        <v>ND</v>
      </c>
      <c r="AQ9" s="26" t="str">
        <f t="shared" si="9"/>
        <v>ND</v>
      </c>
      <c r="AR9" s="26" t="str">
        <f t="shared" si="10"/>
        <v>ND</v>
      </c>
      <c r="AS9" s="26" t="str">
        <f t="shared" si="11"/>
        <v>ND</v>
      </c>
      <c r="AT9" s="26" t="str">
        <f t="shared" si="12"/>
        <v>ND</v>
      </c>
      <c r="AU9" s="26">
        <f t="shared" si="13"/>
        <v>1869.1068049024148</v>
      </c>
      <c r="AV9" s="26" t="str">
        <f t="shared" si="14"/>
        <v>ND</v>
      </c>
      <c r="AW9" s="26" t="str">
        <f t="shared" si="15"/>
        <v>ND</v>
      </c>
      <c r="AX9" s="26">
        <f t="shared" si="16"/>
        <v>2155.2414074130106</v>
      </c>
      <c r="AY9" s="26" t="str">
        <f t="shared" si="17"/>
        <v>ND</v>
      </c>
      <c r="AZ9" s="26" t="str">
        <f t="shared" si="18"/>
        <v>ND</v>
      </c>
      <c r="BA9" s="26" t="str">
        <f t="shared" si="19"/>
        <v>ND</v>
      </c>
      <c r="BB9" s="26" t="str">
        <f t="shared" si="20"/>
        <v>ND</v>
      </c>
      <c r="BC9" s="26">
        <f t="shared" si="21"/>
        <v>7252.780455327551</v>
      </c>
      <c r="BD9" s="26" t="str">
        <f t="shared" si="22"/>
        <v>ND</v>
      </c>
      <c r="BE9" s="26" t="str">
        <f t="shared" si="23"/>
        <v>ND</v>
      </c>
      <c r="BF9" s="26">
        <f t="shared" si="24"/>
        <v>7093.800061904527</v>
      </c>
      <c r="BG9" s="26">
        <f t="shared" si="25"/>
        <v>7500.227644024523</v>
      </c>
      <c r="BH9" s="26" t="str">
        <f t="shared" si="26"/>
        <v>ND</v>
      </c>
      <c r="BI9" s="26" t="str">
        <f t="shared" si="27"/>
        <v>ND</v>
      </c>
      <c r="BJ9" s="26" t="str">
        <f t="shared" si="28"/>
        <v>ND</v>
      </c>
      <c r="BK9" s="26" t="str">
        <f t="shared" si="29"/>
        <v>ND</v>
      </c>
      <c r="BL9" s="26" t="str">
        <f t="shared" si="30"/>
        <v>ND</v>
      </c>
      <c r="BM9" s="26" t="str">
        <f t="shared" si="31"/>
        <v>ND</v>
      </c>
      <c r="BN9" s="26" t="str">
        <f t="shared" si="32"/>
        <v>ND</v>
      </c>
      <c r="BO9" s="26" t="str">
        <f t="shared" si="33"/>
        <v>ND</v>
      </c>
      <c r="BP9" s="26" t="str">
        <f t="shared" si="34"/>
        <v>ND</v>
      </c>
      <c r="BQ9" s="26" t="str">
        <f t="shared" si="35"/>
        <v>ND</v>
      </c>
      <c r="BR9" s="26" t="str">
        <f t="shared" si="36"/>
        <v>ND</v>
      </c>
      <c r="BS9" s="26" t="str">
        <f t="shared" si="37"/>
        <v>ND</v>
      </c>
      <c r="BT9" s="26" t="str">
        <f t="shared" si="38"/>
        <v>ND</v>
      </c>
      <c r="BU9" s="7" t="s">
        <v>73</v>
      </c>
      <c r="BV9" s="31">
        <f t="shared" si="39"/>
        <v>7554.377661083032</v>
      </c>
      <c r="BW9" s="13"/>
    </row>
    <row r="10" spans="1:75" ht="15">
      <c r="A10" s="4" t="s">
        <v>7</v>
      </c>
      <c r="B10" s="10">
        <v>10</v>
      </c>
      <c r="C10" s="10">
        <v>11.9</v>
      </c>
      <c r="D10" s="16">
        <v>27.5</v>
      </c>
      <c r="E10" s="13"/>
      <c r="F10" s="13"/>
      <c r="G10" s="16">
        <v>0</v>
      </c>
      <c r="H10" s="16">
        <v>35</v>
      </c>
      <c r="I10" s="16">
        <v>30.8</v>
      </c>
      <c r="J10" s="16">
        <v>13</v>
      </c>
      <c r="K10" s="16">
        <v>0</v>
      </c>
      <c r="L10" s="16">
        <v>0</v>
      </c>
      <c r="M10" s="16">
        <v>0</v>
      </c>
      <c r="N10" s="16">
        <v>0</v>
      </c>
      <c r="O10" s="16">
        <v>7.7</v>
      </c>
      <c r="P10" s="16">
        <v>0</v>
      </c>
      <c r="Q10" s="13"/>
      <c r="R10" s="16">
        <v>39.8</v>
      </c>
      <c r="S10" s="16">
        <v>36.6</v>
      </c>
      <c r="T10" s="13"/>
      <c r="U10" s="16">
        <v>28</v>
      </c>
      <c r="V10" s="16">
        <v>34.1</v>
      </c>
      <c r="W10" s="16">
        <v>18.3</v>
      </c>
      <c r="X10" s="16">
        <v>12.1</v>
      </c>
      <c r="Y10" s="13"/>
      <c r="Z10" s="13"/>
      <c r="AA10" s="16">
        <v>67.9</v>
      </c>
      <c r="AB10" s="16">
        <f>59.4+22.3</f>
        <v>81.7</v>
      </c>
      <c r="AC10" s="16">
        <v>50.1</v>
      </c>
      <c r="AD10" s="16">
        <v>61.1</v>
      </c>
      <c r="AE10" s="16">
        <v>25.3</v>
      </c>
      <c r="AF10" s="16">
        <v>70.1</v>
      </c>
      <c r="AG10" s="16">
        <v>12.3</v>
      </c>
      <c r="AH10" s="13"/>
      <c r="AI10" s="16">
        <v>35.4</v>
      </c>
      <c r="AJ10" s="13"/>
      <c r="AK10" s="13"/>
      <c r="AL10" s="10">
        <v>0</v>
      </c>
      <c r="AM10" s="19">
        <f t="shared" si="5"/>
        <v>0.5154460557548035</v>
      </c>
      <c r="AN10" s="26">
        <f t="shared" si="6"/>
        <v>1.19115685153421</v>
      </c>
      <c r="AO10" s="26" t="str">
        <f t="shared" si="7"/>
        <v>ND</v>
      </c>
      <c r="AP10" s="26" t="str">
        <f t="shared" si="8"/>
        <v>ND</v>
      </c>
      <c r="AQ10" s="26" t="str">
        <f t="shared" si="9"/>
        <v>ND</v>
      </c>
      <c r="AR10" s="26">
        <f t="shared" si="10"/>
        <v>1.7501881198451554</v>
      </c>
      <c r="AS10" s="26">
        <f t="shared" si="11"/>
        <v>1.4276037171945586</v>
      </c>
      <c r="AT10" s="26">
        <f t="shared" si="12"/>
        <v>0.6046629045005874</v>
      </c>
      <c r="AU10" s="26" t="str">
        <f t="shared" si="13"/>
        <v>ND</v>
      </c>
      <c r="AV10" s="26" t="str">
        <f t="shared" si="14"/>
        <v>ND</v>
      </c>
      <c r="AW10" s="26" t="str">
        <f t="shared" si="15"/>
        <v>ND</v>
      </c>
      <c r="AX10" s="26" t="str">
        <f t="shared" si="16"/>
        <v>ND</v>
      </c>
      <c r="AY10" s="26">
        <f t="shared" si="17"/>
        <v>0.3782641630478494</v>
      </c>
      <c r="AZ10" s="26" t="str">
        <f t="shared" si="18"/>
        <v>ND</v>
      </c>
      <c r="BA10" s="26" t="str">
        <f t="shared" si="19"/>
        <v>ND</v>
      </c>
      <c r="BB10" s="26">
        <f t="shared" si="20"/>
        <v>1.626774251760482</v>
      </c>
      <c r="BC10" s="26">
        <f t="shared" si="21"/>
        <v>1.7108811489477516</v>
      </c>
      <c r="BD10" s="26" t="str">
        <f t="shared" si="22"/>
        <v>ND</v>
      </c>
      <c r="BE10" s="26">
        <f t="shared" si="23"/>
        <v>1.4214055069848601</v>
      </c>
      <c r="BF10" s="26">
        <f t="shared" si="24"/>
        <v>1.474658656955104</v>
      </c>
      <c r="BG10" s="26">
        <f t="shared" si="25"/>
        <v>0.8480174348677428</v>
      </c>
      <c r="BH10" s="26">
        <f t="shared" si="26"/>
        <v>0.5598790661217177</v>
      </c>
      <c r="BI10" s="26" t="str">
        <f t="shared" si="27"/>
        <v>ND</v>
      </c>
      <c r="BJ10" s="26" t="str">
        <f t="shared" si="28"/>
        <v>ND</v>
      </c>
      <c r="BK10" s="26">
        <f t="shared" si="29"/>
        <v>2.7704603690316048</v>
      </c>
      <c r="BL10" s="26">
        <f t="shared" si="30"/>
        <v>4.088756463225459</v>
      </c>
      <c r="BM10" s="26">
        <f t="shared" si="31"/>
        <v>2.3130292684767926</v>
      </c>
      <c r="BN10" s="26">
        <f t="shared" si="32"/>
        <v>2.8504180166012354</v>
      </c>
      <c r="BO10" s="26">
        <f t="shared" si="33"/>
        <v>1.161180718846594</v>
      </c>
      <c r="BP10" s="26">
        <f t="shared" si="34"/>
        <v>3.087133293484505</v>
      </c>
      <c r="BQ10" s="26">
        <f t="shared" si="35"/>
        <v>0.6093658792511785</v>
      </c>
      <c r="BR10" s="26" t="str">
        <f t="shared" si="36"/>
        <v>ND</v>
      </c>
      <c r="BS10" s="26">
        <f t="shared" si="37"/>
        <v>1.6449244364927988</v>
      </c>
      <c r="BT10" s="26" t="str">
        <f t="shared" si="38"/>
        <v>ND</v>
      </c>
      <c r="BU10" s="7" t="s">
        <v>73</v>
      </c>
      <c r="BV10" s="31">
        <f t="shared" si="39"/>
        <v>8.49511551465132</v>
      </c>
      <c r="BW10" s="13"/>
    </row>
    <row r="11" spans="1:75" ht="15">
      <c r="A11" s="4" t="s">
        <v>8</v>
      </c>
      <c r="B11" s="10">
        <v>0.5</v>
      </c>
      <c r="C11" s="10">
        <f>2.3+40.4+2.9</f>
        <v>45.599999999999994</v>
      </c>
      <c r="D11" s="16">
        <v>92</v>
      </c>
      <c r="E11" s="16">
        <v>10.8</v>
      </c>
      <c r="F11" s="13"/>
      <c r="G11" s="16">
        <v>34.2</v>
      </c>
      <c r="H11" s="16">
        <v>91.8</v>
      </c>
      <c r="I11" s="16">
        <v>99.6</v>
      </c>
      <c r="J11" s="16">
        <v>24.9</v>
      </c>
      <c r="K11" s="16">
        <v>17.3</v>
      </c>
      <c r="L11" s="16">
        <f>16.7+25+9.3</f>
        <v>51</v>
      </c>
      <c r="M11" s="16">
        <f>0.7+7.5+24+2.3+1.3</f>
        <v>35.8</v>
      </c>
      <c r="N11" s="16">
        <f>18.1+8.1</f>
        <v>26.200000000000003</v>
      </c>
      <c r="O11" s="16">
        <f>7.7+35.5</f>
        <v>43.2</v>
      </c>
      <c r="P11" s="16">
        <v>43.3</v>
      </c>
      <c r="Q11" s="7" t="s">
        <v>73</v>
      </c>
      <c r="R11" s="16">
        <v>121</v>
      </c>
      <c r="S11" s="16">
        <v>54</v>
      </c>
      <c r="T11" s="16">
        <v>33.3</v>
      </c>
      <c r="U11" s="16">
        <v>72.9</v>
      </c>
      <c r="V11" s="16">
        <v>64.7</v>
      </c>
      <c r="W11" s="16">
        <f>63.7+4.4</f>
        <v>68.10000000000001</v>
      </c>
      <c r="X11" s="16">
        <v>26.7</v>
      </c>
      <c r="Y11" s="16">
        <v>30.6</v>
      </c>
      <c r="Z11" s="16">
        <v>123.5</v>
      </c>
      <c r="AA11" s="16">
        <v>137.8</v>
      </c>
      <c r="AB11" s="16">
        <f>153.1+55.3</f>
        <v>208.39999999999998</v>
      </c>
      <c r="AC11" s="16">
        <v>147.4</v>
      </c>
      <c r="AD11" s="16">
        <v>195.7</v>
      </c>
      <c r="AE11" s="16">
        <v>100.2</v>
      </c>
      <c r="AF11" s="16">
        <v>190</v>
      </c>
      <c r="AG11" s="16">
        <v>51</v>
      </c>
      <c r="AH11" s="16">
        <v>37.6</v>
      </c>
      <c r="AI11" s="16">
        <f>16.5+117.2</f>
        <v>133.7</v>
      </c>
      <c r="AJ11" s="16">
        <f>1.6+35.1+2.6</f>
        <v>39.300000000000004</v>
      </c>
      <c r="AK11" s="13"/>
      <c r="AL11" s="10">
        <v>0</v>
      </c>
      <c r="AM11" s="19">
        <f t="shared" si="5"/>
        <v>1.9751546338167258</v>
      </c>
      <c r="AN11" s="26">
        <f t="shared" si="6"/>
        <v>3.9849611033144474</v>
      </c>
      <c r="AO11" s="26">
        <f t="shared" si="7"/>
        <v>0.46779978169343517</v>
      </c>
      <c r="AP11" s="26" t="str">
        <f t="shared" si="8"/>
        <v>ND</v>
      </c>
      <c r="AQ11" s="26">
        <f t="shared" si="9"/>
        <v>1.7101838199629806</v>
      </c>
      <c r="AR11" s="26">
        <f t="shared" si="10"/>
        <v>4.590493411479579</v>
      </c>
      <c r="AS11" s="26">
        <f t="shared" si="11"/>
        <v>4.616536695862923</v>
      </c>
      <c r="AT11" s="26">
        <f t="shared" si="12"/>
        <v>1.1581620247742017</v>
      </c>
      <c r="AU11" s="26">
        <f t="shared" si="13"/>
        <v>0.8036671486221393</v>
      </c>
      <c r="AV11" s="26">
        <f t="shared" si="14"/>
        <v>2.3703714720680766</v>
      </c>
      <c r="AW11" s="26">
        <f t="shared" si="15"/>
        <v>1.7906690387195914</v>
      </c>
      <c r="AX11" s="26">
        <f t="shared" si="16"/>
        <v>1.2414766703504723</v>
      </c>
      <c r="AY11" s="26">
        <f t="shared" si="17"/>
        <v>2.122209330346376</v>
      </c>
      <c r="AZ11" s="26">
        <f t="shared" si="18"/>
        <v>2.0170008013269345</v>
      </c>
      <c r="BA11" s="26" t="str">
        <f t="shared" si="19"/>
        <v>ND</v>
      </c>
      <c r="BB11" s="26">
        <f t="shared" si="20"/>
        <v>4.945720715151214</v>
      </c>
      <c r="BC11" s="26">
        <f t="shared" si="21"/>
        <v>2.5242508754966826</v>
      </c>
      <c r="BD11" s="26">
        <f t="shared" si="22"/>
        <v>1.6669590936748409</v>
      </c>
      <c r="BE11" s="26">
        <f t="shared" si="23"/>
        <v>3.7007307663998685</v>
      </c>
      <c r="BF11" s="26">
        <f t="shared" si="24"/>
        <v>2.7979593872432615</v>
      </c>
      <c r="BG11" s="26">
        <f t="shared" si="25"/>
        <v>3.155737011720945</v>
      </c>
      <c r="BH11" s="26">
        <f t="shared" si="26"/>
        <v>1.2354356252437901</v>
      </c>
      <c r="BI11" s="26">
        <f t="shared" si="27"/>
        <v>1.3272761539007063</v>
      </c>
      <c r="BJ11" s="26">
        <f t="shared" si="28"/>
        <v>6.134606804189947</v>
      </c>
      <c r="BK11" s="26">
        <f t="shared" si="29"/>
        <v>5.622524872644405</v>
      </c>
      <c r="BL11" s="26">
        <f t="shared" si="30"/>
        <v>10.429581969843152</v>
      </c>
      <c r="BM11" s="26">
        <f t="shared" si="31"/>
        <v>6.805199883702181</v>
      </c>
      <c r="BN11" s="26">
        <f t="shared" si="32"/>
        <v>9.129734956609848</v>
      </c>
      <c r="BO11" s="26">
        <f t="shared" si="33"/>
        <v>4.59882640428572</v>
      </c>
      <c r="BP11" s="26">
        <f t="shared" si="34"/>
        <v>8.367408356092097</v>
      </c>
      <c r="BQ11" s="26">
        <f t="shared" si="35"/>
        <v>2.5266390115292765</v>
      </c>
      <c r="BR11" s="26">
        <f t="shared" si="36"/>
        <v>1.7536836650089396</v>
      </c>
      <c r="BS11" s="26">
        <f t="shared" si="37"/>
        <v>6.212610089239751</v>
      </c>
      <c r="BT11" s="26">
        <f t="shared" si="38"/>
        <v>1.9568212600772745</v>
      </c>
      <c r="BU11" s="7" t="s">
        <v>73</v>
      </c>
      <c r="BV11" s="31">
        <f t="shared" si="39"/>
        <v>30.708161989322544</v>
      </c>
      <c r="BW11" s="13"/>
    </row>
    <row r="12" spans="1:75" ht="15">
      <c r="A12" s="4" t="s">
        <v>9</v>
      </c>
      <c r="B12" s="10">
        <v>50</v>
      </c>
      <c r="C12" s="10">
        <f>101.1+630.8+81.9</f>
        <v>813.8</v>
      </c>
      <c r="D12" s="16">
        <v>1506.3</v>
      </c>
      <c r="E12" s="16">
        <v>358.1</v>
      </c>
      <c r="F12" s="13"/>
      <c r="G12" s="16">
        <v>1219.5</v>
      </c>
      <c r="H12" s="16">
        <v>1686.5</v>
      </c>
      <c r="I12" s="16">
        <v>2151.6</v>
      </c>
      <c r="J12" s="16">
        <v>425.9</v>
      </c>
      <c r="K12" s="16">
        <v>849</v>
      </c>
      <c r="L12" s="16">
        <f>305.7+446.6+148.9</f>
        <v>901.1999999999999</v>
      </c>
      <c r="M12" s="16">
        <f>287.5+437+675.5+314.4+292</f>
        <v>2006.4</v>
      </c>
      <c r="N12" s="16">
        <f>283.2+161</f>
        <v>444.2</v>
      </c>
      <c r="O12" s="16">
        <f>229+739.4</f>
        <v>968.4</v>
      </c>
      <c r="P12" s="16">
        <v>797.8</v>
      </c>
      <c r="Q12" s="7" t="s">
        <v>73</v>
      </c>
      <c r="R12" s="16">
        <v>1525.3</v>
      </c>
      <c r="S12" s="16">
        <v>793.3</v>
      </c>
      <c r="T12" s="16">
        <v>577.4</v>
      </c>
      <c r="U12" s="16">
        <v>1161.9</v>
      </c>
      <c r="V12" s="16">
        <v>1080.9</v>
      </c>
      <c r="W12" s="16">
        <f>988+144.8</f>
        <v>1132.8</v>
      </c>
      <c r="X12" s="16">
        <v>592.3</v>
      </c>
      <c r="Y12" s="16">
        <v>782.8</v>
      </c>
      <c r="Z12" s="16">
        <v>1703</v>
      </c>
      <c r="AA12" s="16">
        <v>1538.6</v>
      </c>
      <c r="AB12" s="16">
        <f>1519+772.3</f>
        <v>2291.3</v>
      </c>
      <c r="AC12" s="16">
        <v>1479.8</v>
      </c>
      <c r="AD12" s="16">
        <v>2631.9</v>
      </c>
      <c r="AE12" s="16">
        <v>1122.3</v>
      </c>
      <c r="AF12" s="16">
        <v>1877.7</v>
      </c>
      <c r="AG12" s="16">
        <v>945.1</v>
      </c>
      <c r="AH12" s="16">
        <v>702.8</v>
      </c>
      <c r="AI12" s="16">
        <f>326.6+1362</f>
        <v>1688.6</v>
      </c>
      <c r="AJ12" s="16">
        <f>134.7+595.3+138.5</f>
        <v>868.5</v>
      </c>
      <c r="AK12" s="13"/>
      <c r="AL12" s="10">
        <v>0</v>
      </c>
      <c r="AM12" s="19">
        <f t="shared" si="5"/>
        <v>35.24957984649236</v>
      </c>
      <c r="AN12" s="26">
        <f t="shared" si="6"/>
        <v>65.24507510785382</v>
      </c>
      <c r="AO12" s="26">
        <f t="shared" si="7"/>
        <v>15.511027946705475</v>
      </c>
      <c r="AP12" s="26" t="str">
        <f t="shared" si="8"/>
        <v>ND</v>
      </c>
      <c r="AQ12" s="26">
        <f t="shared" si="9"/>
        <v>60.981554632890486</v>
      </c>
      <c r="AR12" s="26">
        <f t="shared" si="10"/>
        <v>84.33406468911014</v>
      </c>
      <c r="AS12" s="26">
        <f t="shared" si="11"/>
        <v>99.72831681544845</v>
      </c>
      <c r="AT12" s="26">
        <f t="shared" si="12"/>
        <v>19.809687002061548</v>
      </c>
      <c r="AU12" s="26">
        <f t="shared" si="13"/>
        <v>39.44008145550267</v>
      </c>
      <c r="AV12" s="26">
        <f t="shared" si="14"/>
        <v>41.885858247602954</v>
      </c>
      <c r="AW12" s="26">
        <f t="shared" si="15"/>
        <v>100.35749606946895</v>
      </c>
      <c r="AX12" s="26">
        <f t="shared" si="16"/>
        <v>21.048241869071745</v>
      </c>
      <c r="AY12" s="26">
        <f t="shared" si="17"/>
        <v>47.57285915526459</v>
      </c>
      <c r="AZ12" s="26">
        <f t="shared" si="18"/>
        <v>37.16312330943715</v>
      </c>
      <c r="BA12" s="26" t="str">
        <f t="shared" si="19"/>
        <v>ND</v>
      </c>
      <c r="BB12" s="26">
        <f t="shared" si="20"/>
        <v>62.344692618348326</v>
      </c>
      <c r="BC12" s="26">
        <f t="shared" si="21"/>
        <v>37.083115176509594</v>
      </c>
      <c r="BD12" s="26">
        <f t="shared" si="22"/>
        <v>28.903969390025622</v>
      </c>
      <c r="BE12" s="26">
        <f t="shared" si="23"/>
        <v>58.98325209163247</v>
      </c>
      <c r="BF12" s="26">
        <f t="shared" si="24"/>
        <v>46.74365226694346</v>
      </c>
      <c r="BG12" s="26">
        <f t="shared" si="25"/>
        <v>52.493669410829455</v>
      </c>
      <c r="BH12" s="26">
        <f t="shared" si="26"/>
        <v>27.406311641644077</v>
      </c>
      <c r="BI12" s="26">
        <f t="shared" si="27"/>
        <v>33.953979518740944</v>
      </c>
      <c r="BJ12" s="26">
        <f t="shared" si="28"/>
        <v>84.59299908935611</v>
      </c>
      <c r="BK12" s="26">
        <f t="shared" si="29"/>
        <v>62.778060733314085</v>
      </c>
      <c r="BL12" s="26">
        <f t="shared" si="30"/>
        <v>114.67035109165843</v>
      </c>
      <c r="BM12" s="26">
        <f t="shared" si="31"/>
        <v>68.31977468047819</v>
      </c>
      <c r="BN12" s="26">
        <f t="shared" si="32"/>
        <v>122.78257246960378</v>
      </c>
      <c r="BO12" s="26">
        <f t="shared" si="33"/>
        <v>51.5096095162661</v>
      </c>
      <c r="BP12" s="26">
        <f t="shared" si="34"/>
        <v>82.69201405386384</v>
      </c>
      <c r="BQ12" s="26">
        <f t="shared" si="35"/>
        <v>46.82208881953567</v>
      </c>
      <c r="BR12" s="26">
        <f t="shared" si="36"/>
        <v>32.77895956830539</v>
      </c>
      <c r="BS12" s="26">
        <f t="shared" si="37"/>
        <v>78.46382495654633</v>
      </c>
      <c r="BT12" s="26">
        <f t="shared" si="38"/>
        <v>43.24425609102068</v>
      </c>
      <c r="BU12" s="7" t="s">
        <v>73</v>
      </c>
      <c r="BV12" s="31">
        <f t="shared" si="39"/>
        <v>483.3519740240942</v>
      </c>
      <c r="BW12" s="13"/>
    </row>
    <row r="13" spans="1:75" ht="15">
      <c r="A13" s="4" t="s">
        <v>10</v>
      </c>
      <c r="B13" s="10">
        <v>10</v>
      </c>
      <c r="C13" s="10">
        <f>49.4+5.8</f>
        <v>55.199999999999996</v>
      </c>
      <c r="D13" s="16">
        <v>120.3</v>
      </c>
      <c r="E13" s="16">
        <v>35.6</v>
      </c>
      <c r="F13" s="13"/>
      <c r="G13" s="16">
        <v>169.3</v>
      </c>
      <c r="H13" s="16">
        <v>113.3</v>
      </c>
      <c r="I13" s="16">
        <v>150.8</v>
      </c>
      <c r="J13" s="16">
        <v>26.9</v>
      </c>
      <c r="K13" s="16">
        <v>45.3</v>
      </c>
      <c r="L13" s="16">
        <f>31.1+40.5+16.3</f>
        <v>87.89999999999999</v>
      </c>
      <c r="M13" s="16">
        <f>16.5+55.5+10.4+4.5</f>
        <v>86.9</v>
      </c>
      <c r="N13" s="16">
        <f>39.4+17.1</f>
        <v>56.5</v>
      </c>
      <c r="O13" s="16">
        <f>11.3+51.5</f>
        <v>62.8</v>
      </c>
      <c r="P13" s="16">
        <v>103.7</v>
      </c>
      <c r="Q13" s="7" t="s">
        <v>73</v>
      </c>
      <c r="R13" s="16">
        <v>237.3</v>
      </c>
      <c r="S13" s="16">
        <v>103.8</v>
      </c>
      <c r="T13" s="16">
        <v>45</v>
      </c>
      <c r="U13" s="16">
        <v>113.3</v>
      </c>
      <c r="V13" s="16">
        <v>116</v>
      </c>
      <c r="W13" s="16">
        <f>73.4+6.2</f>
        <v>79.60000000000001</v>
      </c>
      <c r="X13" s="16">
        <v>45.1</v>
      </c>
      <c r="Y13" s="16">
        <v>41.7</v>
      </c>
      <c r="Z13" s="16">
        <v>120</v>
      </c>
      <c r="AA13" s="16">
        <v>188.4</v>
      </c>
      <c r="AB13" s="16">
        <f>211.7+110.6</f>
        <v>322.29999999999995</v>
      </c>
      <c r="AC13" s="16">
        <v>148.5</v>
      </c>
      <c r="AD13" s="16">
        <v>308.9</v>
      </c>
      <c r="AE13" s="16">
        <v>152.1</v>
      </c>
      <c r="AF13" s="16">
        <v>215</v>
      </c>
      <c r="AG13" s="16">
        <v>144.8</v>
      </c>
      <c r="AH13" s="16">
        <v>59</v>
      </c>
      <c r="AI13" s="16">
        <f>42.7+224.3</f>
        <v>267</v>
      </c>
      <c r="AJ13" s="16">
        <f>80.3+15.5</f>
        <v>95.8</v>
      </c>
      <c r="AK13" s="13"/>
      <c r="AL13" s="10">
        <v>9.4</v>
      </c>
      <c r="AM13" s="19">
        <f t="shared" si="5"/>
        <v>1.9838175927369748</v>
      </c>
      <c r="AN13" s="26">
        <f t="shared" si="6"/>
        <v>4.803610721277958</v>
      </c>
      <c r="AO13" s="26">
        <f t="shared" si="7"/>
        <v>1.1348476185525929</v>
      </c>
      <c r="AP13" s="26" t="str">
        <f t="shared" si="8"/>
        <v>ND</v>
      </c>
      <c r="AQ13" s="26">
        <f t="shared" si="9"/>
        <v>7.995859438949725</v>
      </c>
      <c r="AR13" s="26">
        <f t="shared" si="10"/>
        <v>5.195558447197476</v>
      </c>
      <c r="AS13" s="26">
        <f t="shared" si="11"/>
        <v>6.55399888348411</v>
      </c>
      <c r="AT13" s="26">
        <f t="shared" si="12"/>
        <v>0.8139692945200214</v>
      </c>
      <c r="AU13" s="26">
        <f t="shared" si="13"/>
        <v>1.6677254702621271</v>
      </c>
      <c r="AV13" s="26">
        <f t="shared" si="14"/>
        <v>3.648512952104784</v>
      </c>
      <c r="AW13" s="26">
        <f t="shared" si="15"/>
        <v>3.876448338010289</v>
      </c>
      <c r="AX13" s="26">
        <f t="shared" si="16"/>
        <v>2.231814930286536</v>
      </c>
      <c r="AY13" s="26">
        <f t="shared" si="17"/>
        <v>2.6232865333448254</v>
      </c>
      <c r="AZ13" s="26">
        <f t="shared" si="18"/>
        <v>4.392683038455656</v>
      </c>
      <c r="BA13" s="26" t="str">
        <f t="shared" si="19"/>
        <v>ND</v>
      </c>
      <c r="BB13" s="26">
        <f t="shared" si="20"/>
        <v>9.315121908950097</v>
      </c>
      <c r="BC13" s="26">
        <f t="shared" si="21"/>
        <v>4.412764493460867</v>
      </c>
      <c r="BD13" s="26">
        <f t="shared" si="22"/>
        <v>1.7820944064511814</v>
      </c>
      <c r="BE13" s="26">
        <f t="shared" si="23"/>
        <v>5.2744297205616775</v>
      </c>
      <c r="BF13" s="26">
        <f t="shared" si="24"/>
        <v>4.609929995056131</v>
      </c>
      <c r="BG13" s="26">
        <f t="shared" si="25"/>
        <v>3.2530504878533084</v>
      </c>
      <c r="BH13" s="26">
        <f t="shared" si="26"/>
        <v>1.651874600045068</v>
      </c>
      <c r="BI13" s="26">
        <f t="shared" si="27"/>
        <v>1.4010137180063011</v>
      </c>
      <c r="BJ13" s="26">
        <f t="shared" si="28"/>
        <v>5.493826012497231</v>
      </c>
      <c r="BK13" s="26">
        <f t="shared" si="29"/>
        <v>7.303570045017042</v>
      </c>
      <c r="BL13" s="26">
        <f t="shared" si="30"/>
        <v>15.659386748387343</v>
      </c>
      <c r="BM13" s="26">
        <f t="shared" si="31"/>
        <v>6.422003418066304</v>
      </c>
      <c r="BN13" s="26">
        <f t="shared" si="32"/>
        <v>13.972179966809655</v>
      </c>
      <c r="BO13" s="26">
        <f t="shared" si="33"/>
        <v>6.549426426063595</v>
      </c>
      <c r="BP13" s="26">
        <f t="shared" si="34"/>
        <v>9.054416621118605</v>
      </c>
      <c r="BQ13" s="26">
        <f t="shared" si="35"/>
        <v>6.707978865903217</v>
      </c>
      <c r="BR13" s="26">
        <f t="shared" si="36"/>
        <v>2.313369941075622</v>
      </c>
      <c r="BS13" s="26">
        <f t="shared" si="37"/>
        <v>11.96984561696455</v>
      </c>
      <c r="BT13" s="26">
        <f t="shared" si="38"/>
        <v>4.3020192587958395</v>
      </c>
      <c r="BU13" s="7" t="s">
        <v>73</v>
      </c>
      <c r="BV13" s="31">
        <f t="shared" si="39"/>
        <v>46.24440977180307</v>
      </c>
      <c r="BW13" s="13"/>
    </row>
    <row r="14" spans="1:75" ht="15">
      <c r="A14" s="4" t="s">
        <v>11</v>
      </c>
      <c r="B14" s="10">
        <v>100</v>
      </c>
      <c r="C14" s="10">
        <f>625+1274+513</f>
        <v>2412</v>
      </c>
      <c r="D14" s="16">
        <v>1538</v>
      </c>
      <c r="E14" s="16">
        <v>5622</v>
      </c>
      <c r="F14" s="13"/>
      <c r="G14" s="16">
        <v>659.8</v>
      </c>
      <c r="H14" s="16">
        <v>1549.4</v>
      </c>
      <c r="I14" s="16">
        <v>0</v>
      </c>
      <c r="J14" s="16">
        <v>1245</v>
      </c>
      <c r="K14" s="16">
        <v>1241.4</v>
      </c>
      <c r="L14" s="16">
        <f>897+781+685</f>
        <v>2363</v>
      </c>
      <c r="M14" s="16">
        <f>654+1567+624+827</f>
        <v>3672</v>
      </c>
      <c r="N14" s="16">
        <f>1575+1014</f>
        <v>2589</v>
      </c>
      <c r="O14" s="16">
        <f>542+1040</f>
        <v>1582</v>
      </c>
      <c r="P14" s="16">
        <v>2161</v>
      </c>
      <c r="Q14" s="7" t="s">
        <v>73</v>
      </c>
      <c r="R14" s="16">
        <v>2226</v>
      </c>
      <c r="S14" s="16">
        <v>1710</v>
      </c>
      <c r="T14" s="16">
        <v>1741</v>
      </c>
      <c r="U14" s="16">
        <v>2043</v>
      </c>
      <c r="V14" s="16">
        <v>1925</v>
      </c>
      <c r="W14" s="16">
        <f>1230+240</f>
        <v>1470</v>
      </c>
      <c r="X14" s="16">
        <v>718</v>
      </c>
      <c r="Y14" s="16">
        <v>1283</v>
      </c>
      <c r="Z14" s="16">
        <v>2626</v>
      </c>
      <c r="AA14" s="16">
        <v>3910</v>
      </c>
      <c r="AB14" s="16">
        <f>4048+2590</f>
        <v>6638</v>
      </c>
      <c r="AC14" s="16">
        <v>1442</v>
      </c>
      <c r="AD14" s="16">
        <v>4740</v>
      </c>
      <c r="AE14" s="16">
        <v>8025</v>
      </c>
      <c r="AF14" s="16">
        <v>3709</v>
      </c>
      <c r="AG14" s="16">
        <v>3317</v>
      </c>
      <c r="AH14" s="16">
        <v>724</v>
      </c>
      <c r="AI14" s="16">
        <f>1183+6033</f>
        <v>7216</v>
      </c>
      <c r="AJ14" s="16">
        <f>472+3098+662</f>
        <v>4232</v>
      </c>
      <c r="AK14" s="13"/>
      <c r="AL14" s="10">
        <v>445</v>
      </c>
      <c r="AM14" s="19">
        <f t="shared" si="5"/>
        <v>85.20020098064694</v>
      </c>
      <c r="AN14" s="26">
        <f t="shared" si="6"/>
        <v>47.34307049915969</v>
      </c>
      <c r="AO14" s="26">
        <f t="shared" si="7"/>
        <v>224.24069165064014</v>
      </c>
      <c r="AP14" s="26" t="str">
        <f t="shared" si="8"/>
        <v>ND</v>
      </c>
      <c r="AQ14" s="26">
        <f t="shared" si="9"/>
        <v>10.741154518363981</v>
      </c>
      <c r="AR14" s="26">
        <f t="shared" si="10"/>
        <v>55.22593598734257</v>
      </c>
      <c r="AS14" s="26" t="str">
        <f t="shared" si="11"/>
        <v>ND</v>
      </c>
      <c r="AT14" s="26">
        <f t="shared" si="12"/>
        <v>37.21002489234384</v>
      </c>
      <c r="AU14" s="26">
        <f t="shared" si="13"/>
        <v>36.996561685703576</v>
      </c>
      <c r="AV14" s="26">
        <f t="shared" si="14"/>
        <v>89.14455849856022</v>
      </c>
      <c r="AW14" s="26">
        <f t="shared" si="15"/>
        <v>161.4103069259252</v>
      </c>
      <c r="AX14" s="26">
        <f t="shared" si="16"/>
        <v>101.59259470348903</v>
      </c>
      <c r="AY14" s="26">
        <f t="shared" si="17"/>
        <v>55.85537056953308</v>
      </c>
      <c r="AZ14" s="26">
        <f t="shared" si="18"/>
        <v>79.93471997868406</v>
      </c>
      <c r="BA14" s="26" t="str">
        <f t="shared" si="19"/>
        <v>ND</v>
      </c>
      <c r="BB14" s="26">
        <f t="shared" si="20"/>
        <v>72.79610408003565</v>
      </c>
      <c r="BC14" s="26">
        <f t="shared" si="21"/>
        <v>59.13291402783895</v>
      </c>
      <c r="BD14" s="26">
        <f t="shared" si="22"/>
        <v>64.87624580788571</v>
      </c>
      <c r="BE14" s="26">
        <f t="shared" si="23"/>
        <v>81.12164286292166</v>
      </c>
      <c r="BF14" s="26">
        <f t="shared" si="24"/>
        <v>64.00278041916579</v>
      </c>
      <c r="BG14" s="26">
        <f t="shared" si="25"/>
        <v>47.49824430270144</v>
      </c>
      <c r="BH14" s="26">
        <f t="shared" si="26"/>
        <v>12.631982235638754</v>
      </c>
      <c r="BI14" s="26">
        <f t="shared" si="27"/>
        <v>36.348281600287315</v>
      </c>
      <c r="BJ14" s="26">
        <f t="shared" si="28"/>
        <v>108.33665943269858</v>
      </c>
      <c r="BK14" s="26">
        <f t="shared" si="29"/>
        <v>141.3791631619221</v>
      </c>
      <c r="BL14" s="26">
        <f t="shared" si="30"/>
        <v>309.93474634951366</v>
      </c>
      <c r="BM14" s="26">
        <f t="shared" si="31"/>
        <v>46.02974412517689</v>
      </c>
      <c r="BN14" s="26">
        <f t="shared" si="32"/>
        <v>200.36899151067604</v>
      </c>
      <c r="BO14" s="26">
        <f t="shared" si="33"/>
        <v>347.89525094297164</v>
      </c>
      <c r="BP14" s="26">
        <f t="shared" si="34"/>
        <v>143.74326775939267</v>
      </c>
      <c r="BQ14" s="26">
        <f t="shared" si="35"/>
        <v>142.28445570808006</v>
      </c>
      <c r="BR14" s="26">
        <f t="shared" si="36"/>
        <v>13.012705918550376</v>
      </c>
      <c r="BS14" s="26">
        <f t="shared" si="37"/>
        <v>314.6266485732413</v>
      </c>
      <c r="BT14" s="26">
        <f t="shared" si="38"/>
        <v>188.56188579930375</v>
      </c>
      <c r="BU14" s="7" t="s">
        <v>73</v>
      </c>
      <c r="BV14" s="31">
        <f t="shared" si="39"/>
        <v>956.8571065143924</v>
      </c>
      <c r="BW14" s="13"/>
    </row>
    <row r="15" spans="1:75" ht="15">
      <c r="A15" s="4" t="s">
        <v>12</v>
      </c>
      <c r="B15" s="10">
        <v>3</v>
      </c>
      <c r="C15" s="10">
        <v>0</v>
      </c>
      <c r="D15" s="16">
        <v>665.7</v>
      </c>
      <c r="E15" s="16">
        <v>18.7</v>
      </c>
      <c r="F15" s="13"/>
      <c r="G15" s="16">
        <v>52.3</v>
      </c>
      <c r="H15" s="16">
        <v>116.7</v>
      </c>
      <c r="I15" s="16">
        <v>114</v>
      </c>
      <c r="J15" s="16">
        <v>0</v>
      </c>
      <c r="K15" s="16">
        <v>10.8</v>
      </c>
      <c r="L15" s="16">
        <v>0</v>
      </c>
      <c r="M15" s="16">
        <f>15.4+12.4</f>
        <v>27.8</v>
      </c>
      <c r="N15" s="16">
        <v>0</v>
      </c>
      <c r="O15" s="16">
        <v>50</v>
      </c>
      <c r="P15" s="16">
        <v>0</v>
      </c>
      <c r="Q15" s="13"/>
      <c r="R15" s="13"/>
      <c r="S15" s="16">
        <v>0</v>
      </c>
      <c r="T15" s="13"/>
      <c r="U15" s="13"/>
      <c r="V15" s="16">
        <v>0</v>
      </c>
      <c r="W15" s="16">
        <v>64.9</v>
      </c>
      <c r="X15" s="13"/>
      <c r="Y15" s="13"/>
      <c r="Z15" s="16">
        <v>166.4</v>
      </c>
      <c r="AA15" s="13"/>
      <c r="AB15" s="13"/>
      <c r="AC15" s="16">
        <v>95.1</v>
      </c>
      <c r="AD15" s="16">
        <v>54</v>
      </c>
      <c r="AE15" s="16">
        <v>100.5</v>
      </c>
      <c r="AF15" s="13"/>
      <c r="AG15" s="13"/>
      <c r="AH15" s="13"/>
      <c r="AI15" s="16">
        <f>20.7+114.6</f>
        <v>135.29999999999998</v>
      </c>
      <c r="AJ15" s="16">
        <v>42.1</v>
      </c>
      <c r="AK15" s="13"/>
      <c r="AL15" s="10">
        <v>0</v>
      </c>
      <c r="AM15" s="19" t="str">
        <f t="shared" si="5"/>
        <v>ND</v>
      </c>
      <c r="AN15" s="26">
        <f t="shared" si="6"/>
        <v>28.83465876604813</v>
      </c>
      <c r="AO15" s="26">
        <f t="shared" si="7"/>
        <v>0.8099866590432626</v>
      </c>
      <c r="AP15" s="26" t="str">
        <f t="shared" si="8"/>
        <v>ND</v>
      </c>
      <c r="AQ15" s="26">
        <f t="shared" si="9"/>
        <v>2.615281104797189</v>
      </c>
      <c r="AR15" s="26">
        <f t="shared" si="10"/>
        <v>5.835627245312275</v>
      </c>
      <c r="AS15" s="26">
        <f t="shared" si="11"/>
        <v>5.283987784421418</v>
      </c>
      <c r="AT15" s="26" t="str">
        <f t="shared" si="12"/>
        <v>ND</v>
      </c>
      <c r="AU15" s="26">
        <f t="shared" si="13"/>
        <v>0.5017112835328962</v>
      </c>
      <c r="AV15" s="26" t="str">
        <f t="shared" si="14"/>
        <v>ND</v>
      </c>
      <c r="AW15" s="26">
        <f t="shared" si="15"/>
        <v>1.390519532860465</v>
      </c>
      <c r="AX15" s="26" t="str">
        <f t="shared" si="16"/>
        <v>ND</v>
      </c>
      <c r="AY15" s="26">
        <f t="shared" si="17"/>
        <v>2.456260799012009</v>
      </c>
      <c r="AZ15" s="26" t="str">
        <f t="shared" si="18"/>
        <v>ND</v>
      </c>
      <c r="BA15" s="26" t="str">
        <f t="shared" si="19"/>
        <v>ND</v>
      </c>
      <c r="BB15" s="26" t="str">
        <f t="shared" si="20"/>
        <v>ND</v>
      </c>
      <c r="BC15" s="26" t="str">
        <f t="shared" si="21"/>
        <v>ND</v>
      </c>
      <c r="BD15" s="26" t="str">
        <f t="shared" si="22"/>
        <v>ND</v>
      </c>
      <c r="BE15" s="26" t="str">
        <f t="shared" si="23"/>
        <v>ND</v>
      </c>
      <c r="BF15" s="26" t="str">
        <f t="shared" si="24"/>
        <v>ND</v>
      </c>
      <c r="BG15" s="26">
        <f t="shared" si="25"/>
        <v>3.0074498099954377</v>
      </c>
      <c r="BH15" s="26" t="str">
        <f t="shared" si="26"/>
        <v>ND</v>
      </c>
      <c r="BI15" s="26" t="str">
        <f t="shared" si="27"/>
        <v>ND</v>
      </c>
      <c r="BJ15" s="26">
        <f t="shared" si="28"/>
        <v>8.26557548354014</v>
      </c>
      <c r="BK15" s="26" t="str">
        <f t="shared" si="29"/>
        <v>ND</v>
      </c>
      <c r="BL15" s="26" t="str">
        <f t="shared" si="30"/>
        <v>ND</v>
      </c>
      <c r="BM15" s="26">
        <f t="shared" si="31"/>
        <v>4.390600467707444</v>
      </c>
      <c r="BN15" s="26">
        <f t="shared" si="32"/>
        <v>2.519191045768686</v>
      </c>
      <c r="BO15" s="26">
        <f t="shared" si="33"/>
        <v>4.612595345615917</v>
      </c>
      <c r="BP15" s="26" t="str">
        <f t="shared" si="34"/>
        <v>ND</v>
      </c>
      <c r="BQ15" s="26" t="str">
        <f t="shared" si="35"/>
        <v>ND</v>
      </c>
      <c r="BR15" s="26" t="str">
        <f t="shared" si="36"/>
        <v>ND</v>
      </c>
      <c r="BS15" s="26">
        <f t="shared" si="37"/>
        <v>6.2869569564258665</v>
      </c>
      <c r="BT15" s="26">
        <f t="shared" si="38"/>
        <v>2.096238550871584</v>
      </c>
      <c r="BU15" s="7" t="s">
        <v>73</v>
      </c>
      <c r="BV15" s="31">
        <f t="shared" si="39"/>
        <v>12.917015608488956</v>
      </c>
      <c r="BW15" s="13"/>
    </row>
    <row r="16" spans="1:75" ht="15">
      <c r="A16" s="4" t="s">
        <v>13</v>
      </c>
      <c r="B16" s="10">
        <v>200</v>
      </c>
      <c r="C16" s="10">
        <v>0</v>
      </c>
      <c r="D16" s="16">
        <v>0</v>
      </c>
      <c r="E16" s="13"/>
      <c r="F16" s="13"/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3"/>
      <c r="P16" s="16">
        <v>0</v>
      </c>
      <c r="Q16" s="13"/>
      <c r="R16" s="13"/>
      <c r="S16" s="16">
        <v>0</v>
      </c>
      <c r="T16" s="13"/>
      <c r="U16" s="13"/>
      <c r="V16" s="16">
        <v>0</v>
      </c>
      <c r="W16" s="16">
        <v>112</v>
      </c>
      <c r="X16" s="13"/>
      <c r="Y16" s="13"/>
      <c r="Z16" s="13"/>
      <c r="AA16" s="13"/>
      <c r="AB16" s="13"/>
      <c r="AC16" s="16">
        <v>212</v>
      </c>
      <c r="AD16" s="16">
        <v>197</v>
      </c>
      <c r="AE16" s="13"/>
      <c r="AF16" s="13"/>
      <c r="AG16" s="13"/>
      <c r="AH16" s="13"/>
      <c r="AI16" s="13"/>
      <c r="AJ16" s="13"/>
      <c r="AK16" s="13"/>
      <c r="AL16" s="10">
        <v>0</v>
      </c>
      <c r="AM16" s="19" t="str">
        <f t="shared" si="5"/>
        <v>ND</v>
      </c>
      <c r="AN16" s="26" t="str">
        <f t="shared" si="6"/>
        <v>ND</v>
      </c>
      <c r="AO16" s="26" t="str">
        <f t="shared" si="7"/>
        <v>ND</v>
      </c>
      <c r="AP16" s="26" t="str">
        <f t="shared" si="8"/>
        <v>ND</v>
      </c>
      <c r="AQ16" s="26" t="str">
        <f t="shared" si="9"/>
        <v>ND</v>
      </c>
      <c r="AR16" s="26" t="str">
        <f t="shared" si="10"/>
        <v>ND</v>
      </c>
      <c r="AS16" s="26" t="str">
        <f t="shared" si="11"/>
        <v>ND</v>
      </c>
      <c r="AT16" s="26" t="str">
        <f t="shared" si="12"/>
        <v>ND</v>
      </c>
      <c r="AU16" s="26" t="str">
        <f t="shared" si="13"/>
        <v>ND</v>
      </c>
      <c r="AV16" s="26" t="str">
        <f t="shared" si="14"/>
        <v>ND</v>
      </c>
      <c r="AW16" s="26" t="str">
        <f t="shared" si="15"/>
        <v>ND</v>
      </c>
      <c r="AX16" s="26" t="str">
        <f t="shared" si="16"/>
        <v>ND</v>
      </c>
      <c r="AY16" s="26" t="str">
        <f t="shared" si="17"/>
        <v>ND</v>
      </c>
      <c r="AZ16" s="26" t="str">
        <f t="shared" si="18"/>
        <v>ND</v>
      </c>
      <c r="BA16" s="26" t="str">
        <f t="shared" si="19"/>
        <v>ND</v>
      </c>
      <c r="BB16" s="26" t="str">
        <f t="shared" si="20"/>
        <v>ND</v>
      </c>
      <c r="BC16" s="26" t="str">
        <f t="shared" si="21"/>
        <v>ND</v>
      </c>
      <c r="BD16" s="26" t="str">
        <f t="shared" si="22"/>
        <v>ND</v>
      </c>
      <c r="BE16" s="26" t="str">
        <f t="shared" si="23"/>
        <v>ND</v>
      </c>
      <c r="BF16" s="26" t="str">
        <f t="shared" si="24"/>
        <v>ND</v>
      </c>
      <c r="BG16" s="26">
        <f t="shared" si="25"/>
        <v>5.190052060392743</v>
      </c>
      <c r="BH16" s="26" t="str">
        <f t="shared" si="26"/>
        <v>ND</v>
      </c>
      <c r="BI16" s="26" t="str">
        <f t="shared" si="27"/>
        <v>ND</v>
      </c>
      <c r="BJ16" s="26" t="str">
        <f t="shared" si="28"/>
        <v>ND</v>
      </c>
      <c r="BK16" s="26" t="str">
        <f t="shared" si="29"/>
        <v>ND</v>
      </c>
      <c r="BL16" s="26" t="str">
        <f t="shared" si="30"/>
        <v>ND</v>
      </c>
      <c r="BM16" s="26">
        <f t="shared" si="31"/>
        <v>9.78766876081996</v>
      </c>
      <c r="BN16" s="26">
        <f t="shared" si="32"/>
        <v>9.190382148452429</v>
      </c>
      <c r="BO16" s="26" t="str">
        <f t="shared" si="33"/>
        <v>ND</v>
      </c>
      <c r="BP16" s="26" t="str">
        <f t="shared" si="34"/>
        <v>ND</v>
      </c>
      <c r="BQ16" s="26" t="str">
        <f t="shared" si="35"/>
        <v>ND</v>
      </c>
      <c r="BR16" s="26" t="str">
        <f t="shared" si="36"/>
        <v>ND</v>
      </c>
      <c r="BS16" s="26" t="str">
        <f t="shared" si="37"/>
        <v>ND</v>
      </c>
      <c r="BT16" s="26" t="str">
        <f t="shared" si="38"/>
        <v>ND</v>
      </c>
      <c r="BU16" s="7" t="s">
        <v>73</v>
      </c>
      <c r="BV16" s="31">
        <f t="shared" si="39"/>
        <v>7.057086067142218</v>
      </c>
      <c r="BW16" s="13"/>
    </row>
    <row r="17" spans="1:75" ht="15">
      <c r="A17" s="4" t="s">
        <v>14</v>
      </c>
      <c r="B17" s="10">
        <v>20</v>
      </c>
      <c r="C17" s="10">
        <v>0</v>
      </c>
      <c r="D17" s="16">
        <v>0</v>
      </c>
      <c r="E17" s="13"/>
      <c r="F17" s="13"/>
      <c r="G17" s="16">
        <v>0</v>
      </c>
      <c r="H17" s="16">
        <v>0</v>
      </c>
      <c r="I17" s="16">
        <v>135.1</v>
      </c>
      <c r="J17" s="16">
        <v>0</v>
      </c>
      <c r="K17" s="16">
        <v>15.8</v>
      </c>
      <c r="L17" s="16">
        <v>0</v>
      </c>
      <c r="M17" s="16">
        <v>0</v>
      </c>
      <c r="N17" s="16">
        <v>0</v>
      </c>
      <c r="O17" s="13"/>
      <c r="P17" s="16">
        <v>0</v>
      </c>
      <c r="Q17" s="13"/>
      <c r="R17" s="16">
        <v>134.7</v>
      </c>
      <c r="S17" s="16">
        <v>0</v>
      </c>
      <c r="T17" s="13"/>
      <c r="U17" s="16">
        <v>141.8</v>
      </c>
      <c r="V17" s="16">
        <v>77.6</v>
      </c>
      <c r="W17" s="16">
        <v>56.7</v>
      </c>
      <c r="X17" s="16">
        <v>33.5</v>
      </c>
      <c r="Y17" s="13"/>
      <c r="Z17" s="13"/>
      <c r="AA17" s="16">
        <v>239</v>
      </c>
      <c r="AB17" s="16">
        <f>151.6+54.4</f>
        <v>206</v>
      </c>
      <c r="AC17" s="13"/>
      <c r="AD17" s="16">
        <v>237.2</v>
      </c>
      <c r="AE17" s="16">
        <v>178.5</v>
      </c>
      <c r="AF17" s="16">
        <v>221.6</v>
      </c>
      <c r="AG17" s="16">
        <v>79.8</v>
      </c>
      <c r="AH17" s="13"/>
      <c r="AI17" s="16">
        <v>125.3</v>
      </c>
      <c r="AJ17" s="16">
        <v>30.7</v>
      </c>
      <c r="AK17" s="13"/>
      <c r="AL17" s="10">
        <v>0</v>
      </c>
      <c r="AM17" s="19" t="str">
        <f t="shared" si="5"/>
        <v>ND</v>
      </c>
      <c r="AN17" s="26" t="str">
        <f t="shared" si="6"/>
        <v>ND</v>
      </c>
      <c r="AO17" s="26" t="str">
        <f t="shared" si="7"/>
        <v>ND</v>
      </c>
      <c r="AP17" s="26" t="str">
        <f t="shared" si="8"/>
        <v>ND</v>
      </c>
      <c r="AQ17" s="26" t="str">
        <f t="shared" si="9"/>
        <v>ND</v>
      </c>
      <c r="AR17" s="26" t="str">
        <f t="shared" si="10"/>
        <v>ND</v>
      </c>
      <c r="AS17" s="26">
        <f t="shared" si="11"/>
        <v>6.261989032239768</v>
      </c>
      <c r="AT17" s="26" t="str">
        <f t="shared" si="12"/>
        <v>ND</v>
      </c>
      <c r="AU17" s="26">
        <f t="shared" si="13"/>
        <v>0.7339850259092371</v>
      </c>
      <c r="AV17" s="26" t="str">
        <f t="shared" si="14"/>
        <v>ND</v>
      </c>
      <c r="AW17" s="26" t="str">
        <f t="shared" si="15"/>
        <v>ND</v>
      </c>
      <c r="AX17" s="26" t="str">
        <f t="shared" si="16"/>
        <v>ND</v>
      </c>
      <c r="AY17" s="26" t="str">
        <f t="shared" si="17"/>
        <v>ND</v>
      </c>
      <c r="AZ17" s="26" t="str">
        <f t="shared" si="18"/>
        <v>ND</v>
      </c>
      <c r="BA17" s="26" t="str">
        <f t="shared" si="19"/>
        <v>ND</v>
      </c>
      <c r="BB17" s="26">
        <f t="shared" si="20"/>
        <v>5.505690746536104</v>
      </c>
      <c r="BC17" s="26" t="str">
        <f t="shared" si="21"/>
        <v>ND</v>
      </c>
      <c r="BD17" s="26" t="str">
        <f t="shared" si="22"/>
        <v>ND</v>
      </c>
      <c r="BE17" s="26">
        <f t="shared" si="23"/>
        <v>7.198403603230471</v>
      </c>
      <c r="BF17" s="26">
        <f t="shared" si="24"/>
        <v>3.35582145981572</v>
      </c>
      <c r="BG17" s="26">
        <f t="shared" si="25"/>
        <v>2.627463855573826</v>
      </c>
      <c r="BH17" s="26">
        <f t="shared" si="26"/>
        <v>1.5500784062047555</v>
      </c>
      <c r="BI17" s="26" t="str">
        <f t="shared" si="27"/>
        <v>ND</v>
      </c>
      <c r="BJ17" s="26" t="str">
        <f t="shared" si="28"/>
        <v>ND</v>
      </c>
      <c r="BK17" s="26">
        <f t="shared" si="29"/>
        <v>9.751694082452923</v>
      </c>
      <c r="BL17" s="26">
        <f t="shared" si="30"/>
        <v>10.309471620862233</v>
      </c>
      <c r="BM17" s="26" t="str">
        <f t="shared" si="31"/>
        <v>ND</v>
      </c>
      <c r="BN17" s="26">
        <f t="shared" si="32"/>
        <v>11.065779926969116</v>
      </c>
      <c r="BO17" s="26">
        <f t="shared" si="33"/>
        <v>8.192520091467076</v>
      </c>
      <c r="BP17" s="26">
        <f t="shared" si="34"/>
        <v>9.759040482684256</v>
      </c>
      <c r="BQ17" s="26">
        <f t="shared" si="35"/>
        <v>3.9534469239222796</v>
      </c>
      <c r="BR17" s="26" t="str">
        <f t="shared" si="36"/>
        <v>ND</v>
      </c>
      <c r="BS17" s="26">
        <f t="shared" si="37"/>
        <v>5.822289036512647</v>
      </c>
      <c r="BT17" s="26">
        <f t="shared" si="38"/>
        <v>1.5286110097804662</v>
      </c>
      <c r="BU17" s="7" t="s">
        <v>73</v>
      </c>
      <c r="BV17" s="31">
        <f t="shared" si="39"/>
        <v>25.58395530881497</v>
      </c>
      <c r="BW17" s="13"/>
    </row>
    <row r="18" spans="1:75" ht="15">
      <c r="A18" s="4" t="s">
        <v>15</v>
      </c>
      <c r="B18" s="10">
        <v>5</v>
      </c>
      <c r="C18" s="10">
        <f>94.1+5.4</f>
        <v>99.5</v>
      </c>
      <c r="D18" s="16">
        <v>45.5</v>
      </c>
      <c r="E18" s="16">
        <v>11.7</v>
      </c>
      <c r="F18" s="13"/>
      <c r="G18" s="16">
        <v>20.5</v>
      </c>
      <c r="H18" s="16">
        <v>30.5</v>
      </c>
      <c r="I18" s="16">
        <v>106.5</v>
      </c>
      <c r="J18" s="16">
        <v>15.4</v>
      </c>
      <c r="K18" s="16">
        <v>12.2</v>
      </c>
      <c r="L18" s="16">
        <f>39.5+42.5+15.8</f>
        <v>97.8</v>
      </c>
      <c r="M18" s="16">
        <f>7.5+20.2+8</f>
        <v>35.7</v>
      </c>
      <c r="N18" s="16">
        <f>21.9+6.5</f>
        <v>28.4</v>
      </c>
      <c r="O18" s="16">
        <f>8.2+43.6</f>
        <v>51.8</v>
      </c>
      <c r="P18" s="16">
        <v>100.3</v>
      </c>
      <c r="Q18" s="7" t="s">
        <v>73</v>
      </c>
      <c r="R18" s="16">
        <v>113.1</v>
      </c>
      <c r="S18" s="16">
        <v>75.3</v>
      </c>
      <c r="T18" s="16">
        <v>97.8</v>
      </c>
      <c r="U18" s="16">
        <v>42.3</v>
      </c>
      <c r="V18" s="16">
        <v>131.1</v>
      </c>
      <c r="W18" s="16">
        <f>80+79.2</f>
        <v>159.2</v>
      </c>
      <c r="X18" s="16">
        <v>31.7</v>
      </c>
      <c r="Y18" s="16">
        <v>30.4</v>
      </c>
      <c r="Z18" s="16">
        <v>116</v>
      </c>
      <c r="AA18" s="16">
        <v>91.8</v>
      </c>
      <c r="AB18" s="16">
        <f>45+70.6</f>
        <v>115.6</v>
      </c>
      <c r="AC18" s="16">
        <v>73.5</v>
      </c>
      <c r="AD18" s="16">
        <v>123.8</v>
      </c>
      <c r="AE18" s="16">
        <v>135.7</v>
      </c>
      <c r="AF18" s="16">
        <v>105.6</v>
      </c>
      <c r="AG18" s="16">
        <v>69.7</v>
      </c>
      <c r="AH18" s="16">
        <v>26.5</v>
      </c>
      <c r="AI18" s="16">
        <f>19.1+94.9</f>
        <v>114</v>
      </c>
      <c r="AJ18" s="16">
        <f>29.5+1.8</f>
        <v>31.3</v>
      </c>
      <c r="AK18" s="13"/>
      <c r="AL18" s="10">
        <v>0</v>
      </c>
      <c r="AM18" s="19">
        <f t="shared" si="5"/>
        <v>4.309822062823778</v>
      </c>
      <c r="AN18" s="26">
        <f t="shared" si="6"/>
        <v>1.9708231543566017</v>
      </c>
      <c r="AO18" s="26">
        <f t="shared" si="7"/>
        <v>0.5067830968345547</v>
      </c>
      <c r="AP18" s="26" t="str">
        <f t="shared" si="8"/>
        <v>ND</v>
      </c>
      <c r="AQ18" s="26">
        <f t="shared" si="9"/>
        <v>1.025110184480734</v>
      </c>
      <c r="AR18" s="26">
        <f t="shared" si="10"/>
        <v>1.5251639330079212</v>
      </c>
      <c r="AS18" s="26">
        <f t="shared" si="11"/>
        <v>4.9363570091305355</v>
      </c>
      <c r="AT18" s="26">
        <f t="shared" si="12"/>
        <v>0.7162929791776188</v>
      </c>
      <c r="AU18" s="26">
        <f t="shared" si="13"/>
        <v>0.5667479313982716</v>
      </c>
      <c r="AV18" s="26">
        <f t="shared" si="14"/>
        <v>4.5455358817305465</v>
      </c>
      <c r="AW18" s="26">
        <f t="shared" si="15"/>
        <v>1.7856671698963527</v>
      </c>
      <c r="AX18" s="26">
        <f t="shared" si="16"/>
        <v>1.345722802975321</v>
      </c>
      <c r="AY18" s="26">
        <f t="shared" si="17"/>
        <v>2.544686187776441</v>
      </c>
      <c r="AZ18" s="26">
        <f t="shared" si="18"/>
        <v>4.672175066353153</v>
      </c>
      <c r="BA18" s="26" t="str">
        <f t="shared" si="19"/>
        <v>ND</v>
      </c>
      <c r="BB18" s="26">
        <f t="shared" si="20"/>
        <v>4.622818288294234</v>
      </c>
      <c r="BC18" s="26">
        <f t="shared" si="21"/>
        <v>3.5199276097203738</v>
      </c>
      <c r="BD18" s="26">
        <f t="shared" si="22"/>
        <v>4.8957537345765605</v>
      </c>
      <c r="BE18" s="26">
        <f t="shared" si="23"/>
        <v>2.147337605194985</v>
      </c>
      <c r="BF18" s="26">
        <f t="shared" si="24"/>
        <v>5.669435481724753</v>
      </c>
      <c r="BG18" s="26">
        <f t="shared" si="25"/>
        <v>7.377288285843969</v>
      </c>
      <c r="BH18" s="26">
        <f t="shared" si="26"/>
        <v>1.4667906112445</v>
      </c>
      <c r="BI18" s="26">
        <f t="shared" si="27"/>
        <v>1.3186011463588716</v>
      </c>
      <c r="BJ18" s="26">
        <f t="shared" si="28"/>
        <v>5.762059832275578</v>
      </c>
      <c r="BK18" s="26">
        <f t="shared" si="29"/>
        <v>3.7456297772768967</v>
      </c>
      <c r="BL18" s="26">
        <f t="shared" si="30"/>
        <v>5.785315142580942</v>
      </c>
      <c r="BM18" s="26">
        <f t="shared" si="31"/>
        <v>3.3933662920767316</v>
      </c>
      <c r="BN18" s="26">
        <f t="shared" si="32"/>
        <v>5.775478730854876</v>
      </c>
      <c r="BO18" s="26">
        <f t="shared" si="33"/>
        <v>6.228151128359003</v>
      </c>
      <c r="BP18" s="26">
        <f t="shared" si="34"/>
        <v>4.650517486333292</v>
      </c>
      <c r="BQ18" s="26">
        <f t="shared" si="35"/>
        <v>3.4530733157566784</v>
      </c>
      <c r="BR18" s="26">
        <f t="shared" si="36"/>
        <v>1.2359738596472578</v>
      </c>
      <c r="BS18" s="26">
        <f t="shared" si="37"/>
        <v>5.297214287010709</v>
      </c>
      <c r="BT18" s="26">
        <f t="shared" si="38"/>
        <v>1.558486143522104</v>
      </c>
      <c r="BU18" s="7" t="s">
        <v>73</v>
      </c>
      <c r="BV18" s="31">
        <f t="shared" si="39"/>
        <v>30.618570786319047</v>
      </c>
      <c r="BW18" s="13"/>
    </row>
    <row r="19" spans="1:75" ht="15">
      <c r="A19" s="4" t="s">
        <v>16</v>
      </c>
      <c r="B19" s="10">
        <v>3</v>
      </c>
      <c r="C19" s="10">
        <v>18</v>
      </c>
      <c r="D19" s="16">
        <v>62.4</v>
      </c>
      <c r="E19" s="16">
        <v>20.1</v>
      </c>
      <c r="F19" s="13"/>
      <c r="G19" s="16">
        <v>25.9</v>
      </c>
      <c r="H19" s="16">
        <v>71.9</v>
      </c>
      <c r="I19" s="16">
        <v>17.8</v>
      </c>
      <c r="J19" s="16">
        <v>0</v>
      </c>
      <c r="K19" s="16">
        <v>7.5</v>
      </c>
      <c r="L19" s="16">
        <v>0</v>
      </c>
      <c r="M19" s="16">
        <v>15</v>
      </c>
      <c r="N19" s="16">
        <v>0</v>
      </c>
      <c r="O19" s="16">
        <v>25.3</v>
      </c>
      <c r="P19" s="16">
        <v>32.1</v>
      </c>
      <c r="Q19" s="7" t="s">
        <v>73</v>
      </c>
      <c r="R19" s="16">
        <v>46.8</v>
      </c>
      <c r="S19" s="16">
        <v>0</v>
      </c>
      <c r="T19" s="16">
        <v>85.5</v>
      </c>
      <c r="U19" s="16">
        <v>20.1</v>
      </c>
      <c r="V19" s="16">
        <v>31.4</v>
      </c>
      <c r="W19" s="16">
        <v>52.5</v>
      </c>
      <c r="X19" s="16">
        <v>13.6</v>
      </c>
      <c r="Y19" s="7" t="s">
        <v>73</v>
      </c>
      <c r="Z19" s="16">
        <v>52.3</v>
      </c>
      <c r="AA19" s="16">
        <v>12.8</v>
      </c>
      <c r="AB19" s="16">
        <f>1.9+27.6</f>
        <v>29.5</v>
      </c>
      <c r="AC19" s="16">
        <v>25.9</v>
      </c>
      <c r="AD19" s="16">
        <v>49.8</v>
      </c>
      <c r="AE19" s="13"/>
      <c r="AF19" s="13"/>
      <c r="AG19" s="13"/>
      <c r="AH19" s="13"/>
      <c r="AI19" s="16">
        <v>11.7</v>
      </c>
      <c r="AJ19" s="13"/>
      <c r="AK19" s="13"/>
      <c r="AL19" s="10">
        <v>0</v>
      </c>
      <c r="AM19" s="19">
        <f t="shared" si="5"/>
        <v>0.7796663028223919</v>
      </c>
      <c r="AN19" s="26">
        <f t="shared" si="6"/>
        <v>2.702843183117625</v>
      </c>
      <c r="AO19" s="26">
        <f t="shared" si="7"/>
        <v>0.8706273714850044</v>
      </c>
      <c r="AP19" s="26" t="str">
        <f t="shared" si="8"/>
        <v>ND</v>
      </c>
      <c r="AQ19" s="26">
        <f t="shared" si="9"/>
        <v>1.295139208685415</v>
      </c>
      <c r="AR19" s="26">
        <f t="shared" si="10"/>
        <v>3.5953864519104766</v>
      </c>
      <c r="AS19" s="26">
        <f t="shared" si="11"/>
        <v>0.8250437066903618</v>
      </c>
      <c r="AT19" s="26" t="str">
        <f t="shared" si="12"/>
        <v>ND</v>
      </c>
      <c r="AU19" s="26">
        <f t="shared" si="13"/>
        <v>0.34841061356451125</v>
      </c>
      <c r="AV19" s="26" t="str">
        <f t="shared" si="14"/>
        <v>ND</v>
      </c>
      <c r="AW19" s="26">
        <f t="shared" si="15"/>
        <v>0.7502803234858624</v>
      </c>
      <c r="AX19" s="26" t="str">
        <f t="shared" si="16"/>
        <v>ND</v>
      </c>
      <c r="AY19" s="26">
        <f t="shared" si="17"/>
        <v>1.2428679643000766</v>
      </c>
      <c r="AZ19" s="26">
        <f t="shared" si="18"/>
        <v>1.4952823492516076</v>
      </c>
      <c r="BA19" s="26" t="str">
        <f t="shared" si="19"/>
        <v>ND</v>
      </c>
      <c r="BB19" s="26">
        <f t="shared" si="20"/>
        <v>1.9128903261907175</v>
      </c>
      <c r="BC19" s="26" t="str">
        <f t="shared" si="21"/>
        <v>ND</v>
      </c>
      <c r="BD19" s="26">
        <f t="shared" si="22"/>
        <v>4.280030105381349</v>
      </c>
      <c r="BE19" s="26">
        <f t="shared" si="23"/>
        <v>1.0203660960855605</v>
      </c>
      <c r="BF19" s="26">
        <f t="shared" si="24"/>
        <v>1.357896827812031</v>
      </c>
      <c r="BG19" s="26">
        <f t="shared" si="25"/>
        <v>2.432836903309098</v>
      </c>
      <c r="BH19" s="26">
        <f t="shared" si="26"/>
        <v>0.6292855619219305</v>
      </c>
      <c r="BI19" s="26" t="str">
        <f t="shared" si="27"/>
        <v>ND</v>
      </c>
      <c r="BJ19" s="26">
        <f t="shared" si="28"/>
        <v>2.597894217482868</v>
      </c>
      <c r="BK19" s="26">
        <f t="shared" si="29"/>
        <v>0.5222664613196545</v>
      </c>
      <c r="BL19" s="26">
        <f t="shared" si="30"/>
        <v>1.4763563728904654</v>
      </c>
      <c r="BM19" s="26">
        <f t="shared" si="31"/>
        <v>1.1957576457794197</v>
      </c>
      <c r="BN19" s="26">
        <f t="shared" si="32"/>
        <v>2.3232539644311214</v>
      </c>
      <c r="BO19" s="26" t="str">
        <f t="shared" si="33"/>
        <v>ND</v>
      </c>
      <c r="BP19" s="26" t="str">
        <f t="shared" si="34"/>
        <v>ND</v>
      </c>
      <c r="BQ19" s="26" t="str">
        <f t="shared" si="35"/>
        <v>ND</v>
      </c>
      <c r="BR19" s="26" t="str">
        <f t="shared" si="36"/>
        <v>ND</v>
      </c>
      <c r="BS19" s="26">
        <f t="shared" si="37"/>
        <v>0.5436614662984675</v>
      </c>
      <c r="BT19" s="26" t="str">
        <f t="shared" si="38"/>
        <v>ND</v>
      </c>
      <c r="BU19" s="7" t="s">
        <v>73</v>
      </c>
      <c r="BV19" s="31">
        <f t="shared" si="39"/>
        <v>8.146745626442868</v>
      </c>
      <c r="BW19" s="13"/>
    </row>
    <row r="20" spans="1:75" ht="15">
      <c r="A20" s="4" t="s">
        <v>17</v>
      </c>
      <c r="B20" s="10">
        <v>10</v>
      </c>
      <c r="C20" s="10">
        <f>797.9+579.5+562.3</f>
        <v>1939.7</v>
      </c>
      <c r="D20" s="13"/>
      <c r="E20" s="13"/>
      <c r="F20" s="13"/>
      <c r="G20" s="13"/>
      <c r="H20" s="13"/>
      <c r="I20" s="13"/>
      <c r="J20" s="13"/>
      <c r="K20" s="13"/>
      <c r="L20" s="16">
        <v>0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6">
        <f>1107+398</f>
        <v>1505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0">
        <v>0</v>
      </c>
      <c r="AM20" s="19">
        <f t="shared" si="5"/>
        <v>84.01770708803298</v>
      </c>
      <c r="AN20" s="26" t="str">
        <f t="shared" si="6"/>
        <v>ND</v>
      </c>
      <c r="AO20" s="26" t="str">
        <f t="shared" si="7"/>
        <v>ND</v>
      </c>
      <c r="AP20" s="26" t="str">
        <f t="shared" si="8"/>
        <v>ND</v>
      </c>
      <c r="AQ20" s="26" t="str">
        <f t="shared" si="9"/>
        <v>ND</v>
      </c>
      <c r="AR20" s="26" t="str">
        <f t="shared" si="10"/>
        <v>ND</v>
      </c>
      <c r="AS20" s="26" t="str">
        <f t="shared" si="11"/>
        <v>ND</v>
      </c>
      <c r="AT20" s="26" t="str">
        <f t="shared" si="12"/>
        <v>ND</v>
      </c>
      <c r="AU20" s="26" t="str">
        <f t="shared" si="13"/>
        <v>ND</v>
      </c>
      <c r="AV20" s="26" t="str">
        <f t="shared" si="14"/>
        <v>ND</v>
      </c>
      <c r="AW20" s="26" t="str">
        <f t="shared" si="15"/>
        <v>ND</v>
      </c>
      <c r="AX20" s="26" t="str">
        <f t="shared" si="16"/>
        <v>ND</v>
      </c>
      <c r="AY20" s="26" t="str">
        <f t="shared" si="17"/>
        <v>ND</v>
      </c>
      <c r="AZ20" s="26" t="str">
        <f t="shared" si="18"/>
        <v>ND</v>
      </c>
      <c r="BA20" s="26" t="str">
        <f t="shared" si="19"/>
        <v>ND</v>
      </c>
      <c r="BB20" s="26" t="str">
        <f t="shared" si="20"/>
        <v>ND</v>
      </c>
      <c r="BC20" s="26" t="str">
        <f t="shared" si="21"/>
        <v>ND</v>
      </c>
      <c r="BD20" s="26" t="str">
        <f t="shared" si="22"/>
        <v>ND</v>
      </c>
      <c r="BE20" s="26" t="str">
        <f t="shared" si="23"/>
        <v>ND</v>
      </c>
      <c r="BF20" s="26" t="str">
        <f t="shared" si="24"/>
        <v>ND</v>
      </c>
      <c r="BG20" s="26">
        <f t="shared" si="25"/>
        <v>69.74132456152748</v>
      </c>
      <c r="BH20" s="26" t="str">
        <f t="shared" si="26"/>
        <v>ND</v>
      </c>
      <c r="BI20" s="26" t="str">
        <f t="shared" si="27"/>
        <v>ND</v>
      </c>
      <c r="BJ20" s="26" t="str">
        <f t="shared" si="28"/>
        <v>ND</v>
      </c>
      <c r="BK20" s="26" t="str">
        <f t="shared" si="29"/>
        <v>ND</v>
      </c>
      <c r="BL20" s="26" t="str">
        <f t="shared" si="30"/>
        <v>ND</v>
      </c>
      <c r="BM20" s="26" t="str">
        <f t="shared" si="31"/>
        <v>ND</v>
      </c>
      <c r="BN20" s="26" t="str">
        <f t="shared" si="32"/>
        <v>ND</v>
      </c>
      <c r="BO20" s="26" t="str">
        <f t="shared" si="33"/>
        <v>ND</v>
      </c>
      <c r="BP20" s="26" t="str">
        <f t="shared" si="34"/>
        <v>ND</v>
      </c>
      <c r="BQ20" s="26" t="str">
        <f t="shared" si="35"/>
        <v>ND</v>
      </c>
      <c r="BR20" s="26" t="str">
        <f t="shared" si="36"/>
        <v>ND</v>
      </c>
      <c r="BS20" s="26" t="str">
        <f t="shared" si="37"/>
        <v>ND</v>
      </c>
      <c r="BT20" s="26" t="str">
        <f t="shared" si="38"/>
        <v>ND</v>
      </c>
      <c r="BU20" s="7" t="s">
        <v>73</v>
      </c>
      <c r="BV20" s="31">
        <f t="shared" si="39"/>
        <v>44.897637241671646</v>
      </c>
      <c r="BW20" s="13"/>
    </row>
    <row r="21" spans="1:75" ht="15">
      <c r="A21" s="4" t="s">
        <v>18</v>
      </c>
      <c r="B21" s="10">
        <v>5</v>
      </c>
      <c r="C21" s="10">
        <f>18.1+172.4+20.3</f>
        <v>210.8</v>
      </c>
      <c r="D21" s="16">
        <v>324.3</v>
      </c>
      <c r="E21" s="16">
        <v>76.9</v>
      </c>
      <c r="F21" s="13"/>
      <c r="G21" s="16">
        <v>262.1</v>
      </c>
      <c r="H21" s="16">
        <v>565.5</v>
      </c>
      <c r="I21" s="16">
        <v>414.4</v>
      </c>
      <c r="J21" s="16">
        <v>144</v>
      </c>
      <c r="K21" s="16">
        <v>99.4</v>
      </c>
      <c r="L21" s="16">
        <f>71.9+101.2+59.4</f>
        <v>232.50000000000003</v>
      </c>
      <c r="M21" s="16">
        <f>11+35.2+116.8+19.1+8.4</f>
        <v>190.5</v>
      </c>
      <c r="N21" s="16">
        <f>98.4+57.3</f>
        <v>155.7</v>
      </c>
      <c r="O21" s="16">
        <f>250.7+154.2</f>
        <v>404.9</v>
      </c>
      <c r="P21" s="16">
        <v>322.9</v>
      </c>
      <c r="Q21" s="7" t="s">
        <v>73</v>
      </c>
      <c r="R21" s="16">
        <v>597.4</v>
      </c>
      <c r="S21" s="16">
        <v>453.4</v>
      </c>
      <c r="T21" s="16">
        <v>202.6</v>
      </c>
      <c r="U21" s="16">
        <v>308.1</v>
      </c>
      <c r="V21" s="16">
        <v>357.3</v>
      </c>
      <c r="W21" s="16">
        <f>322.9+26.1</f>
        <v>349</v>
      </c>
      <c r="X21" s="16">
        <v>129.6</v>
      </c>
      <c r="Y21" s="16">
        <v>115.5</v>
      </c>
      <c r="Z21" s="16">
        <v>491.8</v>
      </c>
      <c r="AA21" s="16">
        <v>579.4</v>
      </c>
      <c r="AB21" s="16">
        <f>488.9+219.9</f>
        <v>708.8</v>
      </c>
      <c r="AC21" s="16">
        <v>472.5</v>
      </c>
      <c r="AD21" s="16">
        <v>732.1</v>
      </c>
      <c r="AE21" s="16">
        <v>379.8</v>
      </c>
      <c r="AF21" s="16">
        <v>723.9</v>
      </c>
      <c r="AG21" s="16">
        <v>303.8</v>
      </c>
      <c r="AH21" s="16">
        <v>159.8</v>
      </c>
      <c r="AI21" s="16">
        <f>90.6+549.4</f>
        <v>640</v>
      </c>
      <c r="AJ21" s="16">
        <f>35.7+177.1+26.4</f>
        <v>239.20000000000002</v>
      </c>
      <c r="AK21" s="13"/>
      <c r="AL21" s="10">
        <v>18.6</v>
      </c>
      <c r="AM21" s="19">
        <f t="shared" si="5"/>
        <v>8.325103522359097</v>
      </c>
      <c r="AN21" s="26">
        <f t="shared" si="6"/>
        <v>13.241332709600288</v>
      </c>
      <c r="AO21" s="26">
        <f t="shared" si="7"/>
        <v>2.525252525252525</v>
      </c>
      <c r="AP21" s="26" t="str">
        <f t="shared" si="8"/>
        <v>ND</v>
      </c>
      <c r="AQ21" s="26">
        <f t="shared" si="9"/>
        <v>12.176308776637011</v>
      </c>
      <c r="AR21" s="26">
        <f t="shared" si="10"/>
        <v>27.34793950695187</v>
      </c>
      <c r="AS21" s="26">
        <f t="shared" si="11"/>
        <v>18.345634781350853</v>
      </c>
      <c r="AT21" s="26">
        <f t="shared" si="12"/>
        <v>5.832671401874896</v>
      </c>
      <c r="AU21" s="26">
        <f t="shared" si="13"/>
        <v>3.7535436768016686</v>
      </c>
      <c r="AV21" s="26">
        <f t="shared" si="14"/>
        <v>9.941616821085523</v>
      </c>
      <c r="AW21" s="26">
        <f t="shared" si="15"/>
        <v>8.598212507147982</v>
      </c>
      <c r="AX21" s="26">
        <f t="shared" si="16"/>
        <v>6.496429446757624</v>
      </c>
      <c r="AY21" s="26">
        <f t="shared" si="17"/>
        <v>18.97707093316678</v>
      </c>
      <c r="AZ21" s="26">
        <f t="shared" si="18"/>
        <v>14.17490401486804</v>
      </c>
      <c r="BA21" s="26" t="str">
        <f t="shared" si="19"/>
        <v>ND</v>
      </c>
      <c r="BB21" s="26">
        <f t="shared" si="20"/>
        <v>23.657711982888618</v>
      </c>
      <c r="BC21" s="26">
        <f t="shared" si="21"/>
        <v>20.32489408640662</v>
      </c>
      <c r="BD21" s="26">
        <f t="shared" si="22"/>
        <v>9.21082502210723</v>
      </c>
      <c r="BE21" s="26">
        <f t="shared" si="23"/>
        <v>14.696317652575608</v>
      </c>
      <c r="BF21" s="26">
        <f t="shared" si="24"/>
        <v>14.6471227891699</v>
      </c>
      <c r="BG21" s="26">
        <f t="shared" si="25"/>
        <v>15.31065357815859</v>
      </c>
      <c r="BH21" s="26">
        <f t="shared" si="26"/>
        <v>5.136080689215757</v>
      </c>
      <c r="BI21" s="26">
        <f t="shared" si="27"/>
        <v>4.203041154018903</v>
      </c>
      <c r="BJ21" s="26">
        <f t="shared" si="28"/>
        <v>23.50523028131727</v>
      </c>
      <c r="BK21" s="26">
        <f t="shared" si="29"/>
        <v>22.881799336567358</v>
      </c>
      <c r="BL21" s="26">
        <f t="shared" si="30"/>
        <v>34.541734527762685</v>
      </c>
      <c r="BM21" s="26">
        <f t="shared" si="31"/>
        <v>20.95576816290651</v>
      </c>
      <c r="BN21" s="26">
        <f t="shared" si="32"/>
        <v>33.28597798436958</v>
      </c>
      <c r="BO21" s="26">
        <f t="shared" si="33"/>
        <v>16.577805361556905</v>
      </c>
      <c r="BP21" s="26">
        <f t="shared" si="34"/>
        <v>31.060700597640817</v>
      </c>
      <c r="BQ21" s="26">
        <f t="shared" si="35"/>
        <v>14.129361688002934</v>
      </c>
      <c r="BR21" s="26">
        <f t="shared" si="36"/>
        <v>6.585641848384635</v>
      </c>
      <c r="BS21" s="26">
        <f t="shared" si="37"/>
        <v>28.87446454340749</v>
      </c>
      <c r="BT21" s="26">
        <f t="shared" si="38"/>
        <v>10.984090839008823</v>
      </c>
      <c r="BU21" s="7" t="s">
        <v>73</v>
      </c>
      <c r="BV21" s="31">
        <f t="shared" si="39"/>
        <v>134.23706339556833</v>
      </c>
      <c r="BW21" s="13"/>
    </row>
    <row r="22" spans="1:75" ht="15">
      <c r="A22" s="4" t="s">
        <v>19</v>
      </c>
      <c r="B22" s="10">
        <v>10</v>
      </c>
      <c r="C22" s="10">
        <f>33.8+431.3+40.1</f>
        <v>505.20000000000005</v>
      </c>
      <c r="D22" s="16">
        <v>694.6</v>
      </c>
      <c r="E22" s="16">
        <v>142.4</v>
      </c>
      <c r="F22" s="13"/>
      <c r="G22" s="16">
        <v>575</v>
      </c>
      <c r="H22" s="16">
        <v>1100.2</v>
      </c>
      <c r="I22" s="16">
        <v>894.3</v>
      </c>
      <c r="J22" s="16">
        <v>269.4</v>
      </c>
      <c r="K22" s="16">
        <v>178.9</v>
      </c>
      <c r="L22" s="16">
        <f>137+109.4</f>
        <v>246.4</v>
      </c>
      <c r="M22" s="16">
        <f>59.3+249.6+20.7</f>
        <v>329.59999999999997</v>
      </c>
      <c r="N22" s="16">
        <f>175+114.4</f>
        <v>289.4</v>
      </c>
      <c r="O22" s="16">
        <f>547.6+267.8</f>
        <v>815.4000000000001</v>
      </c>
      <c r="P22" s="16">
        <v>518</v>
      </c>
      <c r="Q22" s="7" t="s">
        <v>73</v>
      </c>
      <c r="R22" s="16">
        <v>860.4</v>
      </c>
      <c r="S22" s="16">
        <v>0</v>
      </c>
      <c r="T22" s="16">
        <v>362</v>
      </c>
      <c r="U22" s="16">
        <v>663.2</v>
      </c>
      <c r="V22" s="16">
        <v>0</v>
      </c>
      <c r="W22" s="16">
        <f>635.9+40.9</f>
        <v>676.8</v>
      </c>
      <c r="X22" s="16">
        <v>198.9</v>
      </c>
      <c r="Y22" s="16">
        <v>220.1</v>
      </c>
      <c r="Z22" s="16">
        <v>836.8</v>
      </c>
      <c r="AA22" s="16">
        <v>1237.6</v>
      </c>
      <c r="AB22" s="16">
        <f>1025.8+419.6</f>
        <v>1445.4</v>
      </c>
      <c r="AC22" s="16">
        <v>1030.3</v>
      </c>
      <c r="AD22" s="16">
        <v>1635.4</v>
      </c>
      <c r="AE22" s="16">
        <v>835.3</v>
      </c>
      <c r="AF22" s="16">
        <v>1608.1</v>
      </c>
      <c r="AG22" s="16">
        <v>702.5</v>
      </c>
      <c r="AH22" s="16">
        <v>315.7</v>
      </c>
      <c r="AI22" s="16">
        <f>163.1+1064.6</f>
        <v>1227.6999999999998</v>
      </c>
      <c r="AJ22" s="16">
        <f>51.7+348.2+31.8</f>
        <v>431.7</v>
      </c>
      <c r="AK22" s="13"/>
      <c r="AL22" s="10">
        <v>50.6</v>
      </c>
      <c r="AM22" s="19">
        <f t="shared" si="5"/>
        <v>19.69090562572552</v>
      </c>
      <c r="AN22" s="26">
        <f t="shared" si="6"/>
        <v>27.894727723201132</v>
      </c>
      <c r="AO22" s="26">
        <f t="shared" si="7"/>
        <v>3.976298144394199</v>
      </c>
      <c r="AP22" s="26" t="str">
        <f t="shared" si="8"/>
        <v>ND</v>
      </c>
      <c r="AQ22" s="26">
        <f t="shared" si="9"/>
        <v>26.2228185727657</v>
      </c>
      <c r="AR22" s="26">
        <f t="shared" si="10"/>
        <v>52.485641445413584</v>
      </c>
      <c r="AS22" s="26">
        <f t="shared" si="11"/>
        <v>39.10614468172237</v>
      </c>
      <c r="AT22" s="26">
        <f t="shared" si="12"/>
        <v>10.176941808056037</v>
      </c>
      <c r="AU22" s="26">
        <f t="shared" si="13"/>
        <v>5.9601442293769065</v>
      </c>
      <c r="AV22" s="26">
        <f t="shared" si="14"/>
        <v>9.10036733786136</v>
      </c>
      <c r="AW22" s="26">
        <f t="shared" si="15"/>
        <v>13.955214016837036</v>
      </c>
      <c r="AX22" s="26">
        <f t="shared" si="16"/>
        <v>11.315443850369952</v>
      </c>
      <c r="AY22" s="26">
        <f t="shared" si="17"/>
        <v>37.57096518168769</v>
      </c>
      <c r="AZ22" s="26">
        <f t="shared" si="18"/>
        <v>21.772428973214993</v>
      </c>
      <c r="BA22" s="26" t="str">
        <f t="shared" si="19"/>
        <v>ND</v>
      </c>
      <c r="BB22" s="26">
        <f t="shared" si="20"/>
        <v>33.09954243908639</v>
      </c>
      <c r="BC22" s="26" t="str">
        <f t="shared" si="21"/>
        <v>ND</v>
      </c>
      <c r="BD22" s="26">
        <f t="shared" si="22"/>
        <v>15.588320173283648</v>
      </c>
      <c r="BE22" s="26">
        <f t="shared" si="23"/>
        <v>31.09832191353305</v>
      </c>
      <c r="BF22" s="26" t="str">
        <f t="shared" si="24"/>
        <v>ND</v>
      </c>
      <c r="BG22" s="26">
        <f t="shared" si="25"/>
        <v>29.017951787660134</v>
      </c>
      <c r="BH22" s="26">
        <f t="shared" si="26"/>
        <v>6.861988884781052</v>
      </c>
      <c r="BI22" s="26">
        <f t="shared" si="27"/>
        <v>7.352068891704892</v>
      </c>
      <c r="BJ22" s="26">
        <f t="shared" si="28"/>
        <v>39.05285724254361</v>
      </c>
      <c r="BK22" s="26">
        <f t="shared" si="29"/>
        <v>48.43205387393983</v>
      </c>
      <c r="BL22" s="26">
        <f t="shared" si="30"/>
        <v>69.8041311494109</v>
      </c>
      <c r="BM22" s="26">
        <f t="shared" si="31"/>
        <v>45.23103341969488</v>
      </c>
      <c r="BN22" s="26">
        <f t="shared" si="32"/>
        <v>73.93359202470766</v>
      </c>
      <c r="BO22" s="26">
        <f t="shared" si="33"/>
        <v>36.014960872684675</v>
      </c>
      <c r="BP22" s="26">
        <f t="shared" si="34"/>
        <v>68.59072902428127</v>
      </c>
      <c r="BQ22" s="26">
        <f t="shared" si="35"/>
        <v>32.29639160031246</v>
      </c>
      <c r="BR22" s="26">
        <f t="shared" si="36"/>
        <v>12.364402648773133</v>
      </c>
      <c r="BS22" s="26">
        <f t="shared" si="37"/>
        <v>54.69606085298513</v>
      </c>
      <c r="BT22" s="26">
        <f t="shared" si="38"/>
        <v>18.975689114896927</v>
      </c>
      <c r="BU22" s="7" t="s">
        <v>73</v>
      </c>
      <c r="BV22" s="31">
        <f t="shared" si="39"/>
        <v>239.80726835419705</v>
      </c>
      <c r="BW22" s="13"/>
    </row>
    <row r="23" spans="1:75" ht="15">
      <c r="A23" s="4" t="s">
        <v>20</v>
      </c>
      <c r="B23" s="10">
        <v>100</v>
      </c>
      <c r="C23" s="10">
        <v>182.5</v>
      </c>
      <c r="D23" s="16">
        <v>195.9</v>
      </c>
      <c r="E23" s="16">
        <v>87.4</v>
      </c>
      <c r="F23" s="13"/>
      <c r="G23" s="16">
        <v>142.5</v>
      </c>
      <c r="H23" s="16">
        <v>241.1</v>
      </c>
      <c r="I23" s="16">
        <v>402.9</v>
      </c>
      <c r="J23" s="16">
        <v>119.6</v>
      </c>
      <c r="K23" s="16">
        <v>49.3</v>
      </c>
      <c r="L23" s="16">
        <v>0</v>
      </c>
      <c r="M23" s="16">
        <v>54.9</v>
      </c>
      <c r="N23" s="16">
        <v>71.7</v>
      </c>
      <c r="O23" s="16">
        <f>172.2+133.9</f>
        <v>306.1</v>
      </c>
      <c r="P23" s="16">
        <v>165.3</v>
      </c>
      <c r="Q23" s="7" t="s">
        <v>73</v>
      </c>
      <c r="R23" s="16">
        <v>413</v>
      </c>
      <c r="S23" s="16">
        <v>0</v>
      </c>
      <c r="T23" s="13"/>
      <c r="U23" s="16">
        <v>227.9</v>
      </c>
      <c r="V23" s="16">
        <v>0</v>
      </c>
      <c r="W23" s="16">
        <v>215.9</v>
      </c>
      <c r="X23" s="16">
        <v>100.2</v>
      </c>
      <c r="Y23" s="13"/>
      <c r="Z23" s="16">
        <v>307.8</v>
      </c>
      <c r="AA23" s="16">
        <v>636</v>
      </c>
      <c r="AB23" s="16">
        <f>395.2+132.4</f>
        <v>527.6</v>
      </c>
      <c r="AC23" s="16">
        <v>366.4</v>
      </c>
      <c r="AD23" s="16">
        <v>706.1</v>
      </c>
      <c r="AE23" s="16">
        <v>371.3</v>
      </c>
      <c r="AF23" s="16">
        <v>644.6</v>
      </c>
      <c r="AG23" s="16">
        <v>224.8</v>
      </c>
      <c r="AH23" s="13"/>
      <c r="AI23" s="16">
        <v>556.2</v>
      </c>
      <c r="AJ23" s="13"/>
      <c r="AK23" s="13"/>
      <c r="AL23" s="10">
        <v>0</v>
      </c>
      <c r="AM23" s="19">
        <f t="shared" si="5"/>
        <v>7.904950014727029</v>
      </c>
      <c r="AN23" s="26">
        <f t="shared" si="6"/>
        <v>8.485368262383698</v>
      </c>
      <c r="AO23" s="26">
        <f t="shared" si="7"/>
        <v>3.7857130481487253</v>
      </c>
      <c r="AP23" s="26" t="str">
        <f t="shared" si="8"/>
        <v>ND</v>
      </c>
      <c r="AQ23" s="26">
        <f t="shared" si="9"/>
        <v>7.125765916512418</v>
      </c>
      <c r="AR23" s="26">
        <f t="shared" si="10"/>
        <v>12.056295876990484</v>
      </c>
      <c r="AS23" s="26">
        <f t="shared" si="11"/>
        <v>18.67472524862622</v>
      </c>
      <c r="AT23" s="26">
        <f t="shared" si="12"/>
        <v>5.5628987214054035</v>
      </c>
      <c r="AU23" s="26">
        <f t="shared" si="13"/>
        <v>2.2902190998307206</v>
      </c>
      <c r="AV23" s="26" t="str">
        <f t="shared" si="14"/>
        <v>ND</v>
      </c>
      <c r="AW23" s="26">
        <f t="shared" si="15"/>
        <v>2.746025983958256</v>
      </c>
      <c r="AX23" s="26">
        <f t="shared" si="16"/>
        <v>3.3974762314553</v>
      </c>
      <c r="AY23" s="26">
        <f t="shared" si="17"/>
        <v>15.03722861155152</v>
      </c>
      <c r="AZ23" s="26">
        <f t="shared" si="18"/>
        <v>7.7000053685760355</v>
      </c>
      <c r="BA23" s="26" t="str">
        <f t="shared" si="19"/>
        <v>ND</v>
      </c>
      <c r="BB23" s="26">
        <f t="shared" si="20"/>
        <v>16.880848391383896</v>
      </c>
      <c r="BC23" s="26" t="str">
        <f t="shared" si="21"/>
        <v>ND</v>
      </c>
      <c r="BD23" s="26" t="str">
        <f t="shared" si="22"/>
        <v>ND</v>
      </c>
      <c r="BE23" s="26">
        <f t="shared" si="23"/>
        <v>11.569225537208915</v>
      </c>
      <c r="BF23" s="26" t="str">
        <f t="shared" si="24"/>
        <v>ND</v>
      </c>
      <c r="BG23" s="26">
        <f t="shared" si="25"/>
        <v>10.004752141417796</v>
      </c>
      <c r="BH23" s="26">
        <f t="shared" si="26"/>
        <v>4.6363539194542245</v>
      </c>
      <c r="BI23" s="26" t="str">
        <f t="shared" si="27"/>
        <v>ND</v>
      </c>
      <c r="BJ23" s="26">
        <f t="shared" si="28"/>
        <v>15.289327727365714</v>
      </c>
      <c r="BK23" s="26">
        <f t="shared" si="29"/>
        <v>25.95011479682033</v>
      </c>
      <c r="BL23" s="26">
        <f t="shared" si="30"/>
        <v>26.40425838430541</v>
      </c>
      <c r="BM23" s="26">
        <f t="shared" si="31"/>
        <v>16.916046386624686</v>
      </c>
      <c r="BN23" s="26">
        <f t="shared" si="32"/>
        <v>32.940755507727204</v>
      </c>
      <c r="BO23" s="26">
        <f t="shared" si="33"/>
        <v>17.041359719673533</v>
      </c>
      <c r="BP23" s="26">
        <f t="shared" si="34"/>
        <v>28.387533822826136</v>
      </c>
      <c r="BQ23" s="26">
        <f t="shared" si="35"/>
        <v>11.137028427289831</v>
      </c>
      <c r="BR23" s="26" t="str">
        <f t="shared" si="36"/>
        <v>ND</v>
      </c>
      <c r="BS23" s="26">
        <f t="shared" si="37"/>
        <v>25.8448297055733</v>
      </c>
      <c r="BT23" s="26" t="str">
        <f t="shared" si="38"/>
        <v>ND</v>
      </c>
      <c r="BU23" s="7" t="s">
        <v>73</v>
      </c>
      <c r="BV23" s="31">
        <f t="shared" si="39"/>
        <v>92.63041327203906</v>
      </c>
      <c r="BW23" s="13"/>
    </row>
    <row r="24" spans="1:75" ht="15">
      <c r="A24" s="4" t="s">
        <v>21</v>
      </c>
      <c r="B24" s="10">
        <v>5</v>
      </c>
      <c r="C24" s="10">
        <f>1.3+29.2+5.3</f>
        <v>35.8</v>
      </c>
      <c r="D24" s="16">
        <v>115.7</v>
      </c>
      <c r="E24" s="16">
        <v>9.5</v>
      </c>
      <c r="F24" s="13"/>
      <c r="G24" s="16">
        <v>27.8</v>
      </c>
      <c r="H24" s="16">
        <v>68.6</v>
      </c>
      <c r="I24" s="16">
        <v>62.5</v>
      </c>
      <c r="J24" s="16">
        <v>14.8</v>
      </c>
      <c r="K24" s="16">
        <v>15.3</v>
      </c>
      <c r="L24" s="16">
        <f>10+15.1+9.9</f>
        <v>35</v>
      </c>
      <c r="M24" s="16">
        <f>8.2+7.5+16.4+8.6+9.8</f>
        <v>50.5</v>
      </c>
      <c r="N24" s="16">
        <f>12.5+8</f>
        <v>20.5</v>
      </c>
      <c r="O24" s="16">
        <f>4.1+19.2</f>
        <v>23.299999999999997</v>
      </c>
      <c r="P24" s="16">
        <v>30.5</v>
      </c>
      <c r="Q24" s="7" t="s">
        <v>73</v>
      </c>
      <c r="R24" s="16">
        <v>68.6</v>
      </c>
      <c r="S24" s="16">
        <v>32.1</v>
      </c>
      <c r="T24" s="16">
        <v>26.52</v>
      </c>
      <c r="U24" s="16">
        <v>52.9</v>
      </c>
      <c r="V24" s="16">
        <v>48.4</v>
      </c>
      <c r="W24" s="16">
        <f>45.2+4.8</f>
        <v>50</v>
      </c>
      <c r="X24" s="16">
        <v>14.4</v>
      </c>
      <c r="Y24" s="16">
        <v>19.55</v>
      </c>
      <c r="Z24" s="16">
        <v>66.99</v>
      </c>
      <c r="AA24" s="16">
        <v>148.8</v>
      </c>
      <c r="AB24" s="16">
        <f>93.5+37.8</f>
        <v>131.3</v>
      </c>
      <c r="AC24" s="16">
        <v>91.6</v>
      </c>
      <c r="AD24" s="16">
        <v>137.8</v>
      </c>
      <c r="AE24" s="16">
        <v>97.7</v>
      </c>
      <c r="AF24" s="16">
        <v>123.9</v>
      </c>
      <c r="AG24" s="16">
        <v>35.8</v>
      </c>
      <c r="AH24" s="16">
        <v>31.8</v>
      </c>
      <c r="AI24" s="16">
        <f>11.5+83.2</f>
        <v>94.7</v>
      </c>
      <c r="AJ24" s="16">
        <f>23.9+1.6</f>
        <v>25.5</v>
      </c>
      <c r="AK24" s="13"/>
      <c r="AL24" s="10">
        <v>0</v>
      </c>
      <c r="AM24" s="19">
        <f t="shared" si="5"/>
        <v>1.550669646724535</v>
      </c>
      <c r="AN24" s="26">
        <f t="shared" si="6"/>
        <v>5.01152173536393</v>
      </c>
      <c r="AO24" s="26">
        <f t="shared" si="7"/>
        <v>0.41149054871181795</v>
      </c>
      <c r="AP24" s="26" t="str">
        <f t="shared" si="8"/>
        <v>ND</v>
      </c>
      <c r="AQ24" s="26">
        <f t="shared" si="9"/>
        <v>1.3901494209055807</v>
      </c>
      <c r="AR24" s="26">
        <f t="shared" si="10"/>
        <v>3.4303687148965043</v>
      </c>
      <c r="AS24" s="26">
        <f t="shared" si="11"/>
        <v>2.896923127424023</v>
      </c>
      <c r="AT24" s="26">
        <f t="shared" si="12"/>
        <v>0.688385460508361</v>
      </c>
      <c r="AU24" s="26">
        <f t="shared" si="13"/>
        <v>0.710757651671603</v>
      </c>
      <c r="AV24" s="26">
        <f t="shared" si="14"/>
        <v>1.6267255200467192</v>
      </c>
      <c r="AW24" s="26">
        <f t="shared" si="15"/>
        <v>2.5259437557357365</v>
      </c>
      <c r="AX24" s="26">
        <f t="shared" si="16"/>
        <v>0.9713844176406367</v>
      </c>
      <c r="AY24" s="26">
        <f t="shared" si="17"/>
        <v>1.144617532339596</v>
      </c>
      <c r="AZ24" s="26">
        <f t="shared" si="18"/>
        <v>1.420751141812275</v>
      </c>
      <c r="BA24" s="26" t="str">
        <f t="shared" si="19"/>
        <v>ND</v>
      </c>
      <c r="BB24" s="26">
        <f t="shared" si="20"/>
        <v>2.803937529416308</v>
      </c>
      <c r="BC24" s="26">
        <f t="shared" si="21"/>
        <v>1.500526909323028</v>
      </c>
      <c r="BD24" s="26">
        <f t="shared" si="22"/>
        <v>1.3275602151428463</v>
      </c>
      <c r="BE24" s="26">
        <f t="shared" si="23"/>
        <v>2.6854411185535394</v>
      </c>
      <c r="BF24" s="26">
        <f t="shared" si="24"/>
        <v>2.0930639001943407</v>
      </c>
      <c r="BG24" s="26">
        <f t="shared" si="25"/>
        <v>2.316987526961046</v>
      </c>
      <c r="BH24" s="26">
        <f t="shared" si="26"/>
        <v>0.6663023596820442</v>
      </c>
      <c r="BI24" s="26">
        <f t="shared" si="27"/>
        <v>0.8479819872143401</v>
      </c>
      <c r="BJ24" s="26">
        <f t="shared" si="28"/>
        <v>3.3275895531391457</v>
      </c>
      <c r="BK24" s="26">
        <f t="shared" si="29"/>
        <v>6.071347612840984</v>
      </c>
      <c r="BL24" s="26">
        <f t="shared" si="30"/>
        <v>6.571037008831123</v>
      </c>
      <c r="BM24" s="26">
        <f t="shared" si="31"/>
        <v>4.229011596656171</v>
      </c>
      <c r="BN24" s="26">
        <f t="shared" si="32"/>
        <v>6.428602335313425</v>
      </c>
      <c r="BO24" s="26">
        <f t="shared" si="33"/>
        <v>4.484085226534081</v>
      </c>
      <c r="BP24" s="26">
        <f t="shared" si="34"/>
        <v>5.456431027999004</v>
      </c>
      <c r="BQ24" s="26">
        <f t="shared" si="35"/>
        <v>1.773601502210747</v>
      </c>
      <c r="BR24" s="26">
        <f t="shared" si="36"/>
        <v>1.4831686315767094</v>
      </c>
      <c r="BS24" s="26">
        <f t="shared" si="37"/>
        <v>4.400405201578194</v>
      </c>
      <c r="BT24" s="26">
        <f t="shared" si="38"/>
        <v>1.2696931840196055</v>
      </c>
      <c r="BU24" s="7" t="s">
        <v>73</v>
      </c>
      <c r="BV24" s="31">
        <f t="shared" si="39"/>
        <v>21.9217752140066</v>
      </c>
      <c r="BW24" s="13"/>
    </row>
    <row r="25" spans="1:75" ht="15">
      <c r="A25" s="4" t="s">
        <v>22</v>
      </c>
      <c r="B25" s="10">
        <v>2</v>
      </c>
      <c r="C25" s="10">
        <v>5.7</v>
      </c>
      <c r="D25" s="16">
        <v>10</v>
      </c>
      <c r="E25" s="16">
        <v>1.8</v>
      </c>
      <c r="F25" s="13"/>
      <c r="G25" s="16">
        <v>5.5</v>
      </c>
      <c r="H25" s="16">
        <v>14</v>
      </c>
      <c r="I25" s="16">
        <v>14.8</v>
      </c>
      <c r="J25" s="16">
        <v>3</v>
      </c>
      <c r="K25" s="16">
        <v>2.7</v>
      </c>
      <c r="L25" s="16">
        <f>2.3+4.2+1.6</f>
        <v>8.1</v>
      </c>
      <c r="M25" s="16">
        <f>1.1+4.3+0.5+0.2</f>
        <v>6.1000000000000005</v>
      </c>
      <c r="N25" s="16">
        <f>2+0.8</f>
        <v>2.8</v>
      </c>
      <c r="O25" s="16">
        <f>1.5+4.7</f>
        <v>6.2</v>
      </c>
      <c r="P25" s="16">
        <v>6.5</v>
      </c>
      <c r="Q25" s="7" t="s">
        <v>73</v>
      </c>
      <c r="R25" s="16">
        <v>17.6</v>
      </c>
      <c r="S25" s="16">
        <v>10.3</v>
      </c>
      <c r="T25" s="16">
        <v>6.66</v>
      </c>
      <c r="U25" s="16">
        <v>11.4</v>
      </c>
      <c r="V25" s="16">
        <v>11.6</v>
      </c>
      <c r="W25" s="16">
        <f>10.2+0.4</f>
        <v>10.6</v>
      </c>
      <c r="X25" s="16">
        <v>4.2</v>
      </c>
      <c r="Y25" s="16">
        <v>3.15</v>
      </c>
      <c r="Z25" s="16">
        <v>14.02</v>
      </c>
      <c r="AA25" s="16">
        <v>22.4</v>
      </c>
      <c r="AB25" s="16">
        <f>23+8.9</f>
        <v>31.9</v>
      </c>
      <c r="AC25" s="16">
        <v>19.5</v>
      </c>
      <c r="AD25" s="16">
        <v>29.5</v>
      </c>
      <c r="AE25" s="16">
        <v>14.5</v>
      </c>
      <c r="AF25" s="16">
        <v>27.9</v>
      </c>
      <c r="AG25" s="16">
        <v>7.6</v>
      </c>
      <c r="AH25" s="16">
        <v>5</v>
      </c>
      <c r="AI25" s="16">
        <f>2+16</f>
        <v>18</v>
      </c>
      <c r="AJ25" s="16">
        <f>0.4+5.6+0.9</f>
        <v>6.9</v>
      </c>
      <c r="AK25" s="13"/>
      <c r="AL25" s="10">
        <v>0</v>
      </c>
      <c r="AM25" s="19">
        <f t="shared" si="5"/>
        <v>0.2468943292270908</v>
      </c>
      <c r="AN25" s="26">
        <f t="shared" si="6"/>
        <v>0.43314794601243994</v>
      </c>
      <c r="AO25" s="26">
        <f t="shared" si="7"/>
        <v>0.07796663028223919</v>
      </c>
      <c r="AP25" s="26" t="str">
        <f t="shared" si="8"/>
        <v>ND</v>
      </c>
      <c r="AQ25" s="26">
        <f t="shared" si="9"/>
        <v>0.275029561689953</v>
      </c>
      <c r="AR25" s="26">
        <f t="shared" si="10"/>
        <v>0.7000752479380622</v>
      </c>
      <c r="AS25" s="26">
        <f t="shared" si="11"/>
        <v>0.6859913965740086</v>
      </c>
      <c r="AT25" s="26">
        <f t="shared" si="12"/>
        <v>0.13953759334628937</v>
      </c>
      <c r="AU25" s="26">
        <f t="shared" si="13"/>
        <v>0.12542782088322404</v>
      </c>
      <c r="AV25" s="26">
        <f t="shared" si="14"/>
        <v>0.37647076321081213</v>
      </c>
      <c r="AW25" s="26">
        <f t="shared" si="15"/>
        <v>0.30511399821758406</v>
      </c>
      <c r="AX25" s="26">
        <f t="shared" si="16"/>
        <v>0.13267689606798938</v>
      </c>
      <c r="AY25" s="26">
        <f t="shared" si="17"/>
        <v>0.3045763390774891</v>
      </c>
      <c r="AZ25" s="26">
        <f t="shared" si="18"/>
        <v>0.30278303022228814</v>
      </c>
      <c r="BA25" s="26" t="str">
        <f t="shared" si="19"/>
        <v>ND</v>
      </c>
      <c r="BB25" s="26">
        <f t="shared" si="20"/>
        <v>0.7193775585674494</v>
      </c>
      <c r="BC25" s="26">
        <f t="shared" si="21"/>
        <v>0.48147748180770056</v>
      </c>
      <c r="BD25" s="26">
        <f t="shared" si="22"/>
        <v>0.3333918187349682</v>
      </c>
      <c r="BE25" s="26">
        <f t="shared" si="23"/>
        <v>0.5787150992724074</v>
      </c>
      <c r="BF25" s="26">
        <f t="shared" si="24"/>
        <v>0.5016434140961643</v>
      </c>
      <c r="BG25" s="26">
        <f t="shared" si="25"/>
        <v>0.4912013557157417</v>
      </c>
      <c r="BH25" s="26">
        <f t="shared" si="26"/>
        <v>0.19433818824059623</v>
      </c>
      <c r="BI25" s="26">
        <f t="shared" si="27"/>
        <v>0.13663136878389623</v>
      </c>
      <c r="BJ25" s="26">
        <f t="shared" si="28"/>
        <v>0.6964144728319276</v>
      </c>
      <c r="BK25" s="26">
        <f t="shared" si="29"/>
        <v>0.9139663073093952</v>
      </c>
      <c r="BL25" s="26">
        <f t="shared" si="30"/>
        <v>1.5964667218713846</v>
      </c>
      <c r="BM25" s="26">
        <f t="shared" si="31"/>
        <v>0.9002808529999492</v>
      </c>
      <c r="BN25" s="26">
        <f t="shared" si="32"/>
        <v>1.3762247379662265</v>
      </c>
      <c r="BO25" s="26">
        <f t="shared" si="33"/>
        <v>0.6654988309595103</v>
      </c>
      <c r="BP25" s="26">
        <f t="shared" si="34"/>
        <v>1.2286878586051027</v>
      </c>
      <c r="BQ25" s="26">
        <f t="shared" si="35"/>
        <v>0.3765187546592647</v>
      </c>
      <c r="BR25" s="26">
        <f t="shared" si="36"/>
        <v>0.2332026150277845</v>
      </c>
      <c r="BS25" s="26">
        <f t="shared" si="37"/>
        <v>0.8364022558437961</v>
      </c>
      <c r="BT25" s="26">
        <f t="shared" si="38"/>
        <v>0.34356403802883445</v>
      </c>
      <c r="BU25" s="7" t="s">
        <v>73</v>
      </c>
      <c r="BV25" s="31">
        <f t="shared" si="39"/>
        <v>4.548329850315352</v>
      </c>
      <c r="BW25" s="13"/>
    </row>
    <row r="26" spans="1:75" ht="15">
      <c r="A26" s="4" t="s">
        <v>23</v>
      </c>
      <c r="B26" s="10">
        <v>50</v>
      </c>
      <c r="C26" s="10">
        <v>0</v>
      </c>
      <c r="D26" s="16">
        <v>51.5</v>
      </c>
      <c r="E26" s="13"/>
      <c r="F26" s="13"/>
      <c r="G26" s="16">
        <v>0</v>
      </c>
      <c r="H26" s="16">
        <v>58.2</v>
      </c>
      <c r="I26" s="16">
        <v>53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3"/>
      <c r="P26" s="16">
        <v>0</v>
      </c>
      <c r="Q26" s="7" t="s">
        <v>73</v>
      </c>
      <c r="R26" s="16">
        <v>58</v>
      </c>
      <c r="S26" s="16">
        <v>0</v>
      </c>
      <c r="T26" s="13"/>
      <c r="U26" s="13"/>
      <c r="V26" s="16">
        <v>0</v>
      </c>
      <c r="W26" s="13"/>
      <c r="X26" s="13"/>
      <c r="Y26" s="13"/>
      <c r="Z26" s="13"/>
      <c r="AA26" s="13"/>
      <c r="AB26" s="16">
        <v>83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0">
        <v>0</v>
      </c>
      <c r="AM26" s="19" t="str">
        <f t="shared" si="5"/>
        <v>ND</v>
      </c>
      <c r="AN26" s="26">
        <f t="shared" si="6"/>
        <v>2.230711921964066</v>
      </c>
      <c r="AO26" s="26" t="str">
        <f t="shared" si="7"/>
        <v>ND</v>
      </c>
      <c r="AP26" s="26" t="str">
        <f t="shared" si="8"/>
        <v>ND</v>
      </c>
      <c r="AQ26" s="26" t="str">
        <f t="shared" si="9"/>
        <v>ND</v>
      </c>
      <c r="AR26" s="26">
        <f t="shared" si="10"/>
        <v>2.91031281642823</v>
      </c>
      <c r="AS26" s="26">
        <f t="shared" si="11"/>
        <v>2.4565908120555715</v>
      </c>
      <c r="AT26" s="26" t="str">
        <f t="shared" si="12"/>
        <v>ND</v>
      </c>
      <c r="AU26" s="26" t="str">
        <f t="shared" si="13"/>
        <v>ND</v>
      </c>
      <c r="AV26" s="26" t="str">
        <f t="shared" si="14"/>
        <v>ND</v>
      </c>
      <c r="AW26" s="26" t="str">
        <f t="shared" si="15"/>
        <v>ND</v>
      </c>
      <c r="AX26" s="26" t="str">
        <f t="shared" si="16"/>
        <v>ND</v>
      </c>
      <c r="AY26" s="26" t="str">
        <f t="shared" si="17"/>
        <v>ND</v>
      </c>
      <c r="AZ26" s="26" t="str">
        <f t="shared" si="18"/>
        <v>ND</v>
      </c>
      <c r="BA26" s="26" t="str">
        <f t="shared" si="19"/>
        <v>ND</v>
      </c>
      <c r="BB26" s="26">
        <f t="shared" si="20"/>
        <v>2.3706760452790947</v>
      </c>
      <c r="BC26" s="26" t="str">
        <f t="shared" si="21"/>
        <v>ND</v>
      </c>
      <c r="BD26" s="26" t="str">
        <f t="shared" si="22"/>
        <v>ND</v>
      </c>
      <c r="BE26" s="26" t="str">
        <f t="shared" si="23"/>
        <v>ND</v>
      </c>
      <c r="BF26" s="26" t="str">
        <f t="shared" si="24"/>
        <v>ND</v>
      </c>
      <c r="BG26" s="26" t="str">
        <f t="shared" si="25"/>
        <v>ND</v>
      </c>
      <c r="BH26" s="26" t="str">
        <f t="shared" si="26"/>
        <v>ND</v>
      </c>
      <c r="BI26" s="26" t="str">
        <f t="shared" si="27"/>
        <v>ND</v>
      </c>
      <c r="BJ26" s="26" t="str">
        <f t="shared" si="28"/>
        <v>ND</v>
      </c>
      <c r="BK26" s="26" t="str">
        <f t="shared" si="29"/>
        <v>ND</v>
      </c>
      <c r="BL26" s="26">
        <f t="shared" si="30"/>
        <v>4.153816235590123</v>
      </c>
      <c r="BM26" s="26" t="str">
        <f t="shared" si="31"/>
        <v>ND</v>
      </c>
      <c r="BN26" s="26" t="str">
        <f t="shared" si="32"/>
        <v>ND</v>
      </c>
      <c r="BO26" s="26" t="str">
        <f t="shared" si="33"/>
        <v>ND</v>
      </c>
      <c r="BP26" s="26" t="str">
        <f t="shared" si="34"/>
        <v>ND</v>
      </c>
      <c r="BQ26" s="26" t="str">
        <f t="shared" si="35"/>
        <v>ND</v>
      </c>
      <c r="BR26" s="26" t="str">
        <f t="shared" si="36"/>
        <v>ND</v>
      </c>
      <c r="BS26" s="26" t="str">
        <f t="shared" si="37"/>
        <v>ND</v>
      </c>
      <c r="BT26" s="26" t="str">
        <f t="shared" si="38"/>
        <v>ND</v>
      </c>
      <c r="BU26" s="7" t="s">
        <v>73</v>
      </c>
      <c r="BV26" s="31">
        <f t="shared" si="39"/>
        <v>2.622476263134039</v>
      </c>
      <c r="BW26" s="13"/>
    </row>
    <row r="27" spans="1:75" ht="15">
      <c r="A27" s="4" t="s">
        <v>24</v>
      </c>
      <c r="B27" s="10">
        <v>1</v>
      </c>
      <c r="C27" s="10">
        <v>2.6</v>
      </c>
      <c r="D27" s="16">
        <v>7.9</v>
      </c>
      <c r="E27" s="16">
        <v>0.5</v>
      </c>
      <c r="F27" s="13"/>
      <c r="G27" s="16">
        <v>3.1</v>
      </c>
      <c r="H27" s="16">
        <v>12.6</v>
      </c>
      <c r="I27" s="16">
        <v>8.1</v>
      </c>
      <c r="J27" s="16">
        <v>2</v>
      </c>
      <c r="K27" s="16">
        <v>1.8</v>
      </c>
      <c r="L27" s="16">
        <v>1.4</v>
      </c>
      <c r="M27" s="16">
        <v>1</v>
      </c>
      <c r="N27" s="16">
        <v>1.9</v>
      </c>
      <c r="O27" s="16">
        <v>3.2</v>
      </c>
      <c r="P27" s="16">
        <v>4.5</v>
      </c>
      <c r="Q27" s="7" t="s">
        <v>73</v>
      </c>
      <c r="R27" s="16">
        <v>9.9</v>
      </c>
      <c r="S27" s="16">
        <v>0</v>
      </c>
      <c r="T27" s="16">
        <v>2.68</v>
      </c>
      <c r="U27" s="16">
        <v>7.5</v>
      </c>
      <c r="V27" s="16">
        <v>0</v>
      </c>
      <c r="W27" s="16">
        <v>7.3</v>
      </c>
      <c r="X27" s="16">
        <v>4</v>
      </c>
      <c r="Y27" s="16">
        <v>4.57</v>
      </c>
      <c r="Z27" s="16">
        <v>9.24</v>
      </c>
      <c r="AA27" s="16">
        <v>15.8</v>
      </c>
      <c r="AB27" s="16">
        <f>13.4+5.6</f>
        <v>19</v>
      </c>
      <c r="AC27" s="16">
        <v>11.4</v>
      </c>
      <c r="AD27" s="16">
        <v>20.8</v>
      </c>
      <c r="AE27" s="16">
        <v>9.8</v>
      </c>
      <c r="AF27" s="16">
        <v>17.3</v>
      </c>
      <c r="AG27" s="16">
        <v>5.4</v>
      </c>
      <c r="AH27" s="16">
        <v>4.2</v>
      </c>
      <c r="AI27" s="16">
        <v>11.6</v>
      </c>
      <c r="AJ27" s="16">
        <v>2.5</v>
      </c>
      <c r="AK27" s="13"/>
      <c r="AL27" s="10">
        <v>0</v>
      </c>
      <c r="AM27" s="19">
        <f t="shared" si="5"/>
        <v>0.11261846596323438</v>
      </c>
      <c r="AN27" s="26">
        <f t="shared" si="6"/>
        <v>0.34218687734982756</v>
      </c>
      <c r="AO27" s="26">
        <f t="shared" si="7"/>
        <v>0.021657397300621998</v>
      </c>
      <c r="AP27" s="26" t="str">
        <f t="shared" si="8"/>
        <v>ND</v>
      </c>
      <c r="AQ27" s="26">
        <f t="shared" si="9"/>
        <v>0.15501666204342807</v>
      </c>
      <c r="AR27" s="26">
        <f t="shared" si="10"/>
        <v>0.630067723144256</v>
      </c>
      <c r="AS27" s="26">
        <f t="shared" si="11"/>
        <v>0.37544123731415335</v>
      </c>
      <c r="AT27" s="26">
        <f t="shared" si="12"/>
        <v>0.09302506223085959</v>
      </c>
      <c r="AU27" s="26">
        <f t="shared" si="13"/>
        <v>0.0836185472554827</v>
      </c>
      <c r="AV27" s="26">
        <f t="shared" si="14"/>
        <v>0.06506902080186877</v>
      </c>
      <c r="AW27" s="26">
        <f t="shared" si="15"/>
        <v>0.05001868823239082</v>
      </c>
      <c r="AX27" s="26">
        <f t="shared" si="16"/>
        <v>0.09003075090327851</v>
      </c>
      <c r="AY27" s="26">
        <f t="shared" si="17"/>
        <v>0.15720069113676857</v>
      </c>
      <c r="AZ27" s="26">
        <f t="shared" si="18"/>
        <v>0.20961902092312254</v>
      </c>
      <c r="BA27" s="26" t="str">
        <f t="shared" si="19"/>
        <v>ND</v>
      </c>
      <c r="BB27" s="26">
        <f t="shared" si="20"/>
        <v>0.4046498766941903</v>
      </c>
      <c r="BC27" s="26" t="str">
        <f t="shared" si="21"/>
        <v>ND</v>
      </c>
      <c r="BD27" s="26">
        <f t="shared" si="22"/>
        <v>0.13415766880025748</v>
      </c>
      <c r="BE27" s="26">
        <f t="shared" si="23"/>
        <v>0.38073361794237326</v>
      </c>
      <c r="BF27" s="26" t="str">
        <f t="shared" si="24"/>
        <v>ND</v>
      </c>
      <c r="BG27" s="26">
        <f t="shared" si="25"/>
        <v>0.3382801789363127</v>
      </c>
      <c r="BH27" s="26">
        <f t="shared" si="26"/>
        <v>0.1850839888005678</v>
      </c>
      <c r="BI27" s="26">
        <f t="shared" si="27"/>
        <v>0.19822392233092248</v>
      </c>
      <c r="BJ27" s="26">
        <f t="shared" si="28"/>
        <v>0.45897786939850294</v>
      </c>
      <c r="BK27" s="26">
        <f t="shared" si="29"/>
        <v>0.6446726631914484</v>
      </c>
      <c r="BL27" s="26">
        <f t="shared" si="30"/>
        <v>0.9508735960989438</v>
      </c>
      <c r="BM27" s="26">
        <f t="shared" si="31"/>
        <v>0.5263180371384318</v>
      </c>
      <c r="BN27" s="26">
        <f t="shared" si="32"/>
        <v>0.9703550694812716</v>
      </c>
      <c r="BO27" s="26">
        <f t="shared" si="33"/>
        <v>0.44978541678642775</v>
      </c>
      <c r="BP27" s="26">
        <f t="shared" si="34"/>
        <v>0.7618745503178593</v>
      </c>
      <c r="BQ27" s="26">
        <f t="shared" si="35"/>
        <v>0.26752648357368813</v>
      </c>
      <c r="BR27" s="26">
        <f t="shared" si="36"/>
        <v>0.19589019662333898</v>
      </c>
      <c r="BS27" s="26">
        <f t="shared" si="37"/>
        <v>0.5390147870993353</v>
      </c>
      <c r="BT27" s="26">
        <f t="shared" si="38"/>
        <v>0.12447972392349073</v>
      </c>
      <c r="BU27" s="7" t="s">
        <v>73</v>
      </c>
      <c r="BV27" s="31">
        <f t="shared" si="39"/>
        <v>2.6117102518428306</v>
      </c>
      <c r="BW27" s="13"/>
    </row>
    <row r="28" spans="1:75" ht="15">
      <c r="A28" s="4" t="s">
        <v>25</v>
      </c>
      <c r="B28" s="10">
        <v>1</v>
      </c>
      <c r="C28" s="10">
        <v>0</v>
      </c>
      <c r="D28" s="16">
        <v>4.3</v>
      </c>
      <c r="E28" s="13"/>
      <c r="F28" s="13"/>
      <c r="G28" s="16">
        <v>2.8</v>
      </c>
      <c r="H28" s="16">
        <v>2.6</v>
      </c>
      <c r="I28" s="16">
        <v>0</v>
      </c>
      <c r="J28" s="16">
        <v>0</v>
      </c>
      <c r="K28" s="16">
        <v>1.4</v>
      </c>
      <c r="L28" s="16">
        <v>0</v>
      </c>
      <c r="M28" s="16">
        <v>0</v>
      </c>
      <c r="N28" s="16">
        <v>0</v>
      </c>
      <c r="O28" s="13"/>
      <c r="P28" s="16">
        <v>0</v>
      </c>
      <c r="Q28" s="7" t="s">
        <v>73</v>
      </c>
      <c r="R28" s="13"/>
      <c r="S28" s="16">
        <v>0</v>
      </c>
      <c r="T28" s="13"/>
      <c r="U28" s="13"/>
      <c r="V28" s="16">
        <v>0</v>
      </c>
      <c r="W28" s="13"/>
      <c r="X28" s="13"/>
      <c r="Y28" s="13"/>
      <c r="Z28" s="13"/>
      <c r="AA28" s="13"/>
      <c r="AB28" s="13"/>
      <c r="AC28" s="13"/>
      <c r="AD28" s="16">
        <v>7.9</v>
      </c>
      <c r="AE28" s="13"/>
      <c r="AF28" s="13"/>
      <c r="AG28" s="16">
        <v>11.2</v>
      </c>
      <c r="AH28" s="13"/>
      <c r="AI28" s="13"/>
      <c r="AJ28" s="13"/>
      <c r="AK28" s="13"/>
      <c r="AL28" s="10">
        <v>0</v>
      </c>
      <c r="AM28" s="19" t="str">
        <f t="shared" si="5"/>
        <v>ND</v>
      </c>
      <c r="AN28" s="26">
        <f t="shared" si="6"/>
        <v>0.18625361678534916</v>
      </c>
      <c r="AO28" s="26" t="str">
        <f t="shared" si="7"/>
        <v>ND</v>
      </c>
      <c r="AP28" s="26" t="str">
        <f t="shared" si="8"/>
        <v>ND</v>
      </c>
      <c r="AQ28" s="26">
        <f t="shared" si="9"/>
        <v>0.14001504958761243</v>
      </c>
      <c r="AR28" s="26">
        <f t="shared" si="10"/>
        <v>0.13001397461706868</v>
      </c>
      <c r="AS28" s="26" t="str">
        <f t="shared" si="11"/>
        <v>ND</v>
      </c>
      <c r="AT28" s="26" t="str">
        <f t="shared" si="12"/>
        <v>ND</v>
      </c>
      <c r="AU28" s="26">
        <f t="shared" si="13"/>
        <v>0.06503664786537543</v>
      </c>
      <c r="AV28" s="26" t="str">
        <f t="shared" si="14"/>
        <v>ND</v>
      </c>
      <c r="AW28" s="26" t="str">
        <f t="shared" si="15"/>
        <v>ND</v>
      </c>
      <c r="AX28" s="26" t="str">
        <f t="shared" si="16"/>
        <v>ND</v>
      </c>
      <c r="AY28" s="26" t="str">
        <f t="shared" si="17"/>
        <v>ND</v>
      </c>
      <c r="AZ28" s="26" t="str">
        <f t="shared" si="18"/>
        <v>ND</v>
      </c>
      <c r="BA28" s="26" t="str">
        <f t="shared" si="19"/>
        <v>ND</v>
      </c>
      <c r="BB28" s="26" t="str">
        <f t="shared" si="20"/>
        <v>ND</v>
      </c>
      <c r="BC28" s="26" t="str">
        <f t="shared" si="21"/>
        <v>ND</v>
      </c>
      <c r="BD28" s="26" t="str">
        <f t="shared" si="22"/>
        <v>ND</v>
      </c>
      <c r="BE28" s="26" t="str">
        <f t="shared" si="23"/>
        <v>ND</v>
      </c>
      <c r="BF28" s="26" t="str">
        <f t="shared" si="24"/>
        <v>ND</v>
      </c>
      <c r="BG28" s="26" t="str">
        <f t="shared" si="25"/>
        <v>ND</v>
      </c>
      <c r="BH28" s="26" t="str">
        <f t="shared" si="26"/>
        <v>ND</v>
      </c>
      <c r="BI28" s="26" t="str">
        <f t="shared" si="27"/>
        <v>ND</v>
      </c>
      <c r="BJ28" s="26" t="str">
        <f t="shared" si="28"/>
        <v>ND</v>
      </c>
      <c r="BK28" s="26" t="str">
        <f t="shared" si="29"/>
        <v>ND</v>
      </c>
      <c r="BL28" s="26" t="str">
        <f t="shared" si="30"/>
        <v>ND</v>
      </c>
      <c r="BM28" s="26" t="str">
        <f t="shared" si="31"/>
        <v>ND</v>
      </c>
      <c r="BN28" s="26">
        <f t="shared" si="32"/>
        <v>0.3685483196587522</v>
      </c>
      <c r="BO28" s="26" t="str">
        <f t="shared" si="33"/>
        <v>ND</v>
      </c>
      <c r="BP28" s="26" t="str">
        <f t="shared" si="34"/>
        <v>ND</v>
      </c>
      <c r="BQ28" s="26">
        <f t="shared" si="35"/>
        <v>0.5548697437083902</v>
      </c>
      <c r="BR28" s="26" t="str">
        <f t="shared" si="36"/>
        <v>ND</v>
      </c>
      <c r="BS28" s="26" t="str">
        <f t="shared" si="37"/>
        <v>ND</v>
      </c>
      <c r="BT28" s="26" t="str">
        <f t="shared" si="38"/>
        <v>ND</v>
      </c>
      <c r="BU28" s="7" t="s">
        <v>73</v>
      </c>
      <c r="BV28" s="31">
        <f t="shared" si="39"/>
        <v>0.3295131701594779</v>
      </c>
      <c r="BW28" s="13"/>
    </row>
    <row r="29" spans="1:75" ht="15">
      <c r="A29" s="4" t="s">
        <v>26</v>
      </c>
      <c r="B29" s="10">
        <v>1</v>
      </c>
      <c r="C29" s="10">
        <f>1.1+7.4</f>
        <v>8.5</v>
      </c>
      <c r="D29" s="16">
        <v>13.5</v>
      </c>
      <c r="E29" s="16">
        <v>2</v>
      </c>
      <c r="F29" s="13"/>
      <c r="G29" s="16">
        <v>6.8</v>
      </c>
      <c r="H29" s="16">
        <v>22.5</v>
      </c>
      <c r="I29" s="16">
        <v>21.6</v>
      </c>
      <c r="J29" s="16">
        <v>2.7</v>
      </c>
      <c r="K29" s="16">
        <v>5.1</v>
      </c>
      <c r="L29" s="16">
        <f>2.7+2.5</f>
        <v>5.2</v>
      </c>
      <c r="M29" s="16">
        <f>1+1.5+4.2+0.9+1</f>
        <v>8.600000000000001</v>
      </c>
      <c r="N29" s="16">
        <f>1.7+2.1</f>
        <v>3.8</v>
      </c>
      <c r="O29" s="16">
        <f>2.5+5.4</f>
        <v>7.9</v>
      </c>
      <c r="P29" s="16">
        <v>5.6</v>
      </c>
      <c r="Q29" s="7" t="s">
        <v>73</v>
      </c>
      <c r="R29" s="16">
        <v>26.8</v>
      </c>
      <c r="S29" s="16">
        <v>9.4</v>
      </c>
      <c r="T29" s="16">
        <v>7.18</v>
      </c>
      <c r="U29" s="16">
        <v>15.9</v>
      </c>
      <c r="V29" s="16">
        <v>8.7</v>
      </c>
      <c r="W29" s="16">
        <f>12.9+1</f>
        <v>13.9</v>
      </c>
      <c r="X29" s="16">
        <v>3.2</v>
      </c>
      <c r="Y29" s="16">
        <v>7.57</v>
      </c>
      <c r="Z29" s="16">
        <v>36.38</v>
      </c>
      <c r="AA29" s="16">
        <v>45.6</v>
      </c>
      <c r="AB29" s="16">
        <f>49+12.2</f>
        <v>61.2</v>
      </c>
      <c r="AC29" s="16">
        <v>29.5</v>
      </c>
      <c r="AD29" s="16">
        <v>48.8</v>
      </c>
      <c r="AE29" s="16">
        <v>38.6</v>
      </c>
      <c r="AF29" s="16">
        <v>57.8</v>
      </c>
      <c r="AG29" s="13"/>
      <c r="AH29" s="16">
        <v>9.6</v>
      </c>
      <c r="AI29" s="16">
        <f>4+41</f>
        <v>45</v>
      </c>
      <c r="AJ29" s="16">
        <f>1.2+7.7+2.2</f>
        <v>11.100000000000001</v>
      </c>
      <c r="AK29" s="13"/>
      <c r="AL29" s="10">
        <v>1.5</v>
      </c>
      <c r="AM29" s="19">
        <f t="shared" si="5"/>
        <v>0.303203562208708</v>
      </c>
      <c r="AN29" s="26">
        <f t="shared" si="6"/>
        <v>0.519777535214928</v>
      </c>
      <c r="AO29" s="26">
        <f t="shared" si="7"/>
        <v>0.021657397300621998</v>
      </c>
      <c r="AP29" s="26" t="str">
        <f t="shared" si="8"/>
        <v>ND</v>
      </c>
      <c r="AQ29" s="26">
        <f t="shared" si="9"/>
        <v>0.26502848671940926</v>
      </c>
      <c r="AR29" s="26">
        <f t="shared" si="10"/>
        <v>1.0501128719070933</v>
      </c>
      <c r="AS29" s="26">
        <f t="shared" si="11"/>
        <v>0.9316504777795659</v>
      </c>
      <c r="AT29" s="26">
        <f t="shared" si="12"/>
        <v>0.05581503733851576</v>
      </c>
      <c r="AU29" s="26">
        <f t="shared" si="13"/>
        <v>0.16723709451096538</v>
      </c>
      <c r="AV29" s="26">
        <f t="shared" si="14"/>
        <v>0.17196812640493891</v>
      </c>
      <c r="AW29" s="26">
        <f t="shared" si="15"/>
        <v>0.3551326864499749</v>
      </c>
      <c r="AX29" s="26">
        <f t="shared" si="16"/>
        <v>0.10898459319870557</v>
      </c>
      <c r="AY29" s="26">
        <f t="shared" si="17"/>
        <v>0.31440138227353714</v>
      </c>
      <c r="AZ29" s="26">
        <f t="shared" si="18"/>
        <v>0.19098621906328941</v>
      </c>
      <c r="BA29" s="26" t="str">
        <f t="shared" si="19"/>
        <v>ND</v>
      </c>
      <c r="BB29" s="26">
        <f t="shared" si="20"/>
        <v>1.0341052404407085</v>
      </c>
      <c r="BC29" s="26">
        <f t="shared" si="21"/>
        <v>0.369288554007848</v>
      </c>
      <c r="BD29" s="26">
        <f t="shared" si="22"/>
        <v>0.2843341637259188</v>
      </c>
      <c r="BE29" s="26">
        <f t="shared" si="23"/>
        <v>0.7310085464493566</v>
      </c>
      <c r="BF29" s="26">
        <f t="shared" si="24"/>
        <v>0.3113648777148606</v>
      </c>
      <c r="BG29" s="26">
        <f t="shared" si="25"/>
        <v>0.5746129066863394</v>
      </c>
      <c r="BH29" s="26">
        <f t="shared" si="26"/>
        <v>0.07866069524024133</v>
      </c>
      <c r="BI29" s="26">
        <f t="shared" si="27"/>
        <v>0.2632864788946826</v>
      </c>
      <c r="BJ29" s="26">
        <f t="shared" si="28"/>
        <v>1.73259178404976</v>
      </c>
      <c r="BK29" s="26">
        <f t="shared" si="29"/>
        <v>1.799371167515372</v>
      </c>
      <c r="BL29" s="26">
        <f t="shared" si="30"/>
        <v>2.987744930900366</v>
      </c>
      <c r="BM29" s="26">
        <f t="shared" si="31"/>
        <v>1.2927109684101834</v>
      </c>
      <c r="BN29" s="26">
        <f t="shared" si="32"/>
        <v>2.2066247493492375</v>
      </c>
      <c r="BO29" s="26">
        <f t="shared" si="33"/>
        <v>1.7027590778343336</v>
      </c>
      <c r="BP29" s="26">
        <f t="shared" si="34"/>
        <v>2.479395212884132</v>
      </c>
      <c r="BQ29" s="26" t="str">
        <f t="shared" si="35"/>
        <v>ND</v>
      </c>
      <c r="BR29" s="26">
        <f t="shared" si="36"/>
        <v>0.37778823634501085</v>
      </c>
      <c r="BS29" s="26">
        <f t="shared" si="37"/>
        <v>2.0213054516225073</v>
      </c>
      <c r="BT29" s="26">
        <f t="shared" si="38"/>
        <v>0.4780021398662045</v>
      </c>
      <c r="BU29" s="7" t="s">
        <v>73</v>
      </c>
      <c r="BV29" s="31">
        <f t="shared" si="39"/>
        <v>6.8944179115941076</v>
      </c>
      <c r="BW29" s="13"/>
    </row>
    <row r="30" spans="1:75" ht="15">
      <c r="A30" s="4" t="s">
        <v>27</v>
      </c>
      <c r="B30" s="10">
        <v>5</v>
      </c>
      <c r="C30" s="10">
        <v>0</v>
      </c>
      <c r="D30" s="16">
        <v>0</v>
      </c>
      <c r="E30" s="13"/>
      <c r="F30" s="13"/>
      <c r="G30" s="16">
        <v>0</v>
      </c>
      <c r="H30" s="16">
        <v>0</v>
      </c>
      <c r="I30" s="16">
        <v>5.1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3"/>
      <c r="P30" s="16">
        <v>0</v>
      </c>
      <c r="Q30" s="7" t="s">
        <v>73</v>
      </c>
      <c r="R30" s="16">
        <v>4</v>
      </c>
      <c r="S30" s="16">
        <v>0</v>
      </c>
      <c r="T30" s="13"/>
      <c r="U30" s="13"/>
      <c r="V30" s="16">
        <v>0</v>
      </c>
      <c r="W30" s="16">
        <v>1.3</v>
      </c>
      <c r="X30" s="13"/>
      <c r="Y30" s="13"/>
      <c r="Z30" s="13"/>
      <c r="AA30" s="16">
        <v>6.9</v>
      </c>
      <c r="AB30" s="16">
        <v>7</v>
      </c>
      <c r="AC30" s="16">
        <v>3.8</v>
      </c>
      <c r="AD30" s="16">
        <v>5.9</v>
      </c>
      <c r="AE30" s="16">
        <v>5.7</v>
      </c>
      <c r="AF30" s="13"/>
      <c r="AG30" s="13"/>
      <c r="AH30" s="13"/>
      <c r="AI30" s="16">
        <v>6.3</v>
      </c>
      <c r="AJ30" s="13"/>
      <c r="AK30" s="13"/>
      <c r="AL30" s="10">
        <v>0</v>
      </c>
      <c r="AM30" s="19" t="str">
        <f t="shared" si="5"/>
        <v>ND</v>
      </c>
      <c r="AN30" s="26" t="str">
        <f t="shared" si="6"/>
        <v>ND</v>
      </c>
      <c r="AO30" s="26" t="str">
        <f t="shared" si="7"/>
        <v>ND</v>
      </c>
      <c r="AP30" s="26" t="str">
        <f t="shared" si="8"/>
        <v>ND</v>
      </c>
      <c r="AQ30" s="26" t="str">
        <f t="shared" si="9"/>
        <v>ND</v>
      </c>
      <c r="AR30" s="26" t="str">
        <f t="shared" si="10"/>
        <v>ND</v>
      </c>
      <c r="AS30" s="26">
        <f t="shared" si="11"/>
        <v>0.23638892719780027</v>
      </c>
      <c r="AT30" s="26" t="str">
        <f t="shared" si="12"/>
        <v>ND</v>
      </c>
      <c r="AU30" s="26" t="str">
        <f t="shared" si="13"/>
        <v>ND</v>
      </c>
      <c r="AV30" s="26" t="str">
        <f t="shared" si="14"/>
        <v>ND</v>
      </c>
      <c r="AW30" s="26" t="str">
        <f t="shared" si="15"/>
        <v>ND</v>
      </c>
      <c r="AX30" s="26" t="str">
        <f t="shared" si="16"/>
        <v>ND</v>
      </c>
      <c r="AY30" s="26" t="str">
        <f t="shared" si="17"/>
        <v>ND</v>
      </c>
      <c r="AZ30" s="26" t="str">
        <f t="shared" si="18"/>
        <v>ND</v>
      </c>
      <c r="BA30" s="26" t="str">
        <f t="shared" si="19"/>
        <v>ND</v>
      </c>
      <c r="BB30" s="26">
        <f t="shared" si="20"/>
        <v>0.16349489967442032</v>
      </c>
      <c r="BC30" s="26" t="str">
        <f t="shared" si="21"/>
        <v>ND</v>
      </c>
      <c r="BD30" s="26" t="str">
        <f t="shared" si="22"/>
        <v>ND</v>
      </c>
      <c r="BE30" s="26" t="str">
        <f t="shared" si="23"/>
        <v>ND</v>
      </c>
      <c r="BF30" s="26" t="str">
        <f t="shared" si="24"/>
        <v>ND</v>
      </c>
      <c r="BG30" s="26">
        <f t="shared" si="25"/>
        <v>0.06024167570098719</v>
      </c>
      <c r="BH30" s="26" t="str">
        <f t="shared" si="26"/>
        <v>ND</v>
      </c>
      <c r="BI30" s="26" t="str">
        <f t="shared" si="27"/>
        <v>ND</v>
      </c>
      <c r="BJ30" s="26" t="str">
        <f t="shared" si="28"/>
        <v>ND</v>
      </c>
      <c r="BK30" s="26">
        <f t="shared" si="29"/>
        <v>0.28153426430512624</v>
      </c>
      <c r="BL30" s="26">
        <f t="shared" si="30"/>
        <v>0.3503218511943477</v>
      </c>
      <c r="BM30" s="26">
        <f t="shared" si="31"/>
        <v>0.1754393457128106</v>
      </c>
      <c r="BN30" s="26">
        <f t="shared" si="32"/>
        <v>0.2752449475932453</v>
      </c>
      <c r="BO30" s="26">
        <f t="shared" si="33"/>
        <v>0.2616098852737386</v>
      </c>
      <c r="BP30" s="26" t="str">
        <f t="shared" si="34"/>
        <v>ND</v>
      </c>
      <c r="BQ30" s="26" t="str">
        <f t="shared" si="35"/>
        <v>ND</v>
      </c>
      <c r="BR30" s="26" t="str">
        <f t="shared" si="36"/>
        <v>ND</v>
      </c>
      <c r="BS30" s="26">
        <f t="shared" si="37"/>
        <v>0.2927407895453286</v>
      </c>
      <c r="BT30" s="26" t="str">
        <f t="shared" si="38"/>
        <v>ND</v>
      </c>
      <c r="BU30" s="7" t="s">
        <v>73</v>
      </c>
      <c r="BV30" s="31">
        <f t="shared" si="39"/>
        <v>0.6123288431697589</v>
      </c>
      <c r="BW30" s="13"/>
    </row>
    <row r="31" spans="1:75" ht="15">
      <c r="A31" s="4" t="s">
        <v>28</v>
      </c>
      <c r="B31" s="11"/>
      <c r="C31" s="10">
        <v>6614</v>
      </c>
      <c r="D31" s="16">
        <v>0</v>
      </c>
      <c r="E31" s="13"/>
      <c r="F31" s="13"/>
      <c r="G31" s="16">
        <v>0</v>
      </c>
      <c r="H31" s="16">
        <v>0</v>
      </c>
      <c r="I31" s="16">
        <v>8775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3"/>
      <c r="P31" s="16">
        <v>9404</v>
      </c>
      <c r="Q31" s="7" t="s">
        <v>73</v>
      </c>
      <c r="R31" s="13"/>
      <c r="S31" s="16">
        <v>0</v>
      </c>
      <c r="T31" s="13"/>
      <c r="U31" s="13"/>
      <c r="V31" s="16">
        <v>14090</v>
      </c>
      <c r="W31" s="13"/>
      <c r="X31" s="13"/>
      <c r="Y31" s="13"/>
      <c r="Z31" s="13"/>
      <c r="AA31" s="13"/>
      <c r="AB31" s="13"/>
      <c r="AC31" s="13"/>
      <c r="AD31" s="16">
        <v>7698.7</v>
      </c>
      <c r="AE31" s="13"/>
      <c r="AF31" s="13"/>
      <c r="AG31" s="13"/>
      <c r="AH31" s="13"/>
      <c r="AI31" s="13"/>
      <c r="AJ31" s="16">
        <v>1441</v>
      </c>
      <c r="AK31" s="13"/>
      <c r="AL31" s="10">
        <v>0</v>
      </c>
      <c r="AM31" s="19">
        <f t="shared" si="5"/>
        <v>286.48405149262777</v>
      </c>
      <c r="AN31" s="26" t="str">
        <f t="shared" si="6"/>
        <v>ND</v>
      </c>
      <c r="AO31" s="26" t="str">
        <f t="shared" si="7"/>
        <v>ND</v>
      </c>
      <c r="AP31" s="26" t="str">
        <f t="shared" si="8"/>
        <v>ND</v>
      </c>
      <c r="AQ31" s="26" t="str">
        <f t="shared" si="9"/>
        <v>ND</v>
      </c>
      <c r="AR31" s="26" t="str">
        <f t="shared" si="10"/>
        <v>ND</v>
      </c>
      <c r="AS31" s="26">
        <f t="shared" si="11"/>
        <v>406.7280070903328</v>
      </c>
      <c r="AT31" s="26" t="str">
        <f t="shared" si="12"/>
        <v>ND</v>
      </c>
      <c r="AU31" s="26" t="str">
        <f t="shared" si="13"/>
        <v>ND</v>
      </c>
      <c r="AV31" s="26" t="str">
        <f t="shared" si="14"/>
        <v>ND</v>
      </c>
      <c r="AW31" s="26" t="str">
        <f t="shared" si="15"/>
        <v>ND</v>
      </c>
      <c r="AX31" s="26" t="str">
        <f t="shared" si="16"/>
        <v>ND</v>
      </c>
      <c r="AY31" s="26" t="str">
        <f t="shared" si="17"/>
        <v>ND</v>
      </c>
      <c r="AZ31" s="26">
        <f t="shared" si="18"/>
        <v>438.05717172467655</v>
      </c>
      <c r="BA31" s="26" t="str">
        <f t="shared" si="19"/>
        <v>ND</v>
      </c>
      <c r="BB31" s="26" t="str">
        <f t="shared" si="20"/>
        <v>ND</v>
      </c>
      <c r="BC31" s="26" t="str">
        <f t="shared" si="21"/>
        <v>ND</v>
      </c>
      <c r="BD31" s="26" t="str">
        <f t="shared" si="22"/>
        <v>ND</v>
      </c>
      <c r="BE31" s="26" t="str">
        <f t="shared" si="23"/>
        <v>ND</v>
      </c>
      <c r="BF31" s="26">
        <f t="shared" si="24"/>
        <v>609.3237676392203</v>
      </c>
      <c r="BG31" s="26" t="str">
        <f t="shared" si="25"/>
        <v>ND</v>
      </c>
      <c r="BH31" s="26" t="str">
        <f t="shared" si="26"/>
        <v>ND</v>
      </c>
      <c r="BI31" s="26" t="str">
        <f t="shared" si="27"/>
        <v>ND</v>
      </c>
      <c r="BJ31" s="26" t="str">
        <f t="shared" si="28"/>
        <v>ND</v>
      </c>
      <c r="BK31" s="26" t="str">
        <f t="shared" si="29"/>
        <v>ND</v>
      </c>
      <c r="BL31" s="26" t="str">
        <f t="shared" si="30"/>
        <v>ND</v>
      </c>
      <c r="BM31" s="26" t="str">
        <f t="shared" si="31"/>
        <v>ND</v>
      </c>
      <c r="BN31" s="26">
        <f t="shared" si="32"/>
        <v>359.1573352603589</v>
      </c>
      <c r="BO31" s="26" t="str">
        <f t="shared" si="33"/>
        <v>ND</v>
      </c>
      <c r="BP31" s="26" t="str">
        <f t="shared" si="34"/>
        <v>ND</v>
      </c>
      <c r="BQ31" s="26" t="str">
        <f t="shared" si="35"/>
        <v>ND</v>
      </c>
      <c r="BR31" s="26" t="str">
        <f t="shared" si="36"/>
        <v>ND</v>
      </c>
      <c r="BS31" s="26" t="str">
        <f t="shared" si="37"/>
        <v>ND</v>
      </c>
      <c r="BT31" s="26">
        <f t="shared" si="38"/>
        <v>71.75011286950006</v>
      </c>
      <c r="BU31" s="7" t="s">
        <v>73</v>
      </c>
      <c r="BV31" s="31">
        <f t="shared" si="39"/>
        <v>634.0781302544012</v>
      </c>
      <c r="BW31" s="13"/>
    </row>
    <row r="32" spans="1:75" ht="15">
      <c r="A32" s="4" t="s">
        <v>29</v>
      </c>
      <c r="B32" s="10">
        <v>5</v>
      </c>
      <c r="C32" s="10">
        <v>4.9</v>
      </c>
      <c r="D32" s="16">
        <v>9</v>
      </c>
      <c r="E32" s="16">
        <v>2.1</v>
      </c>
      <c r="F32" s="13"/>
      <c r="G32" s="16">
        <v>5.8</v>
      </c>
      <c r="H32" s="16">
        <v>15.4</v>
      </c>
      <c r="I32" s="16">
        <v>14.6</v>
      </c>
      <c r="J32" s="16">
        <v>2.5</v>
      </c>
      <c r="K32" s="16">
        <v>2.5</v>
      </c>
      <c r="L32" s="16">
        <f>3.3+0.9</f>
        <v>4.2</v>
      </c>
      <c r="M32" s="16">
        <f>0.8+3.3</f>
        <v>4.1</v>
      </c>
      <c r="N32" s="16">
        <f>2.7+0.9</f>
        <v>3.6</v>
      </c>
      <c r="O32" s="16">
        <f>1.2+6.8</f>
        <v>8</v>
      </c>
      <c r="P32" s="16">
        <v>4.4</v>
      </c>
      <c r="Q32" s="7" t="s">
        <v>73</v>
      </c>
      <c r="R32" s="16">
        <v>20</v>
      </c>
      <c r="S32" s="16">
        <v>0</v>
      </c>
      <c r="T32" s="16">
        <v>13.6</v>
      </c>
      <c r="U32" s="16">
        <v>20.9</v>
      </c>
      <c r="V32" s="16">
        <v>0</v>
      </c>
      <c r="W32" s="16">
        <f>11.7+0.4</f>
        <v>12.1</v>
      </c>
      <c r="X32" s="16">
        <v>4</v>
      </c>
      <c r="Y32" s="16">
        <v>7.2</v>
      </c>
      <c r="Z32" s="16">
        <v>36</v>
      </c>
      <c r="AA32" s="16">
        <v>27.3</v>
      </c>
      <c r="AB32" s="16">
        <f>33.9+12.2</f>
        <v>46.099999999999994</v>
      </c>
      <c r="AC32" s="16">
        <v>34.8</v>
      </c>
      <c r="AD32" s="16">
        <v>41.9</v>
      </c>
      <c r="AE32" s="16">
        <v>21.4</v>
      </c>
      <c r="AF32" s="16">
        <v>54</v>
      </c>
      <c r="AG32" s="16">
        <v>14.9</v>
      </c>
      <c r="AH32" s="16">
        <v>9.7</v>
      </c>
      <c r="AI32" s="16">
        <f>3.2+25.7</f>
        <v>28.9</v>
      </c>
      <c r="AJ32" s="16">
        <f>7+0.7</f>
        <v>7.7</v>
      </c>
      <c r="AK32" s="13"/>
      <c r="AL32" s="10">
        <v>0</v>
      </c>
      <c r="AM32" s="19">
        <f t="shared" si="5"/>
        <v>0.2122424935460956</v>
      </c>
      <c r="AN32" s="26">
        <f t="shared" si="6"/>
        <v>0.38983315141119596</v>
      </c>
      <c r="AO32" s="26">
        <f t="shared" si="7"/>
        <v>0.09096106866261239</v>
      </c>
      <c r="AP32" s="26" t="str">
        <f t="shared" si="8"/>
        <v>ND</v>
      </c>
      <c r="AQ32" s="26">
        <f t="shared" si="9"/>
        <v>0.2900311741457686</v>
      </c>
      <c r="AR32" s="26">
        <f t="shared" si="10"/>
        <v>0.7700827727318684</v>
      </c>
      <c r="AS32" s="26">
        <f t="shared" si="11"/>
        <v>0.6767212425662518</v>
      </c>
      <c r="AT32" s="26">
        <f t="shared" si="12"/>
        <v>0.11628132778857449</v>
      </c>
      <c r="AU32" s="26">
        <f t="shared" si="13"/>
        <v>0.11613687118817041</v>
      </c>
      <c r="AV32" s="26">
        <f t="shared" si="14"/>
        <v>0.1952070624056063</v>
      </c>
      <c r="AW32" s="26">
        <f t="shared" si="15"/>
        <v>0.20507662175280236</v>
      </c>
      <c r="AX32" s="26">
        <f t="shared" si="16"/>
        <v>0.17058458065884352</v>
      </c>
      <c r="AY32" s="26">
        <f t="shared" si="17"/>
        <v>0.39300172784192144</v>
      </c>
      <c r="AZ32" s="26">
        <f t="shared" si="18"/>
        <v>0.20496082045816427</v>
      </c>
      <c r="BA32" s="26" t="str">
        <f t="shared" si="19"/>
        <v>ND</v>
      </c>
      <c r="BB32" s="26">
        <f t="shared" si="20"/>
        <v>0.8174744983721016</v>
      </c>
      <c r="BC32" s="26" t="str">
        <f t="shared" si="21"/>
        <v>ND</v>
      </c>
      <c r="BD32" s="26">
        <f t="shared" si="22"/>
        <v>0.6808001103296648</v>
      </c>
      <c r="BE32" s="26">
        <f t="shared" si="23"/>
        <v>1.0609776819994134</v>
      </c>
      <c r="BF32" s="26" t="str">
        <f t="shared" si="24"/>
        <v>ND</v>
      </c>
      <c r="BG32" s="26">
        <f t="shared" si="25"/>
        <v>0.5607109815245731</v>
      </c>
      <c r="BH32" s="26">
        <f t="shared" si="26"/>
        <v>0.1850839888005678</v>
      </c>
      <c r="BI32" s="26">
        <f t="shared" si="27"/>
        <v>0.31230027150604855</v>
      </c>
      <c r="BJ32" s="26">
        <f t="shared" si="28"/>
        <v>1.7882254651889724</v>
      </c>
      <c r="BK32" s="26">
        <f t="shared" si="29"/>
        <v>1.1138964370333255</v>
      </c>
      <c r="BL32" s="26">
        <f t="shared" si="30"/>
        <v>2.30711962000849</v>
      </c>
      <c r="BM32" s="26">
        <f t="shared" si="31"/>
        <v>1.6066550607383707</v>
      </c>
      <c r="BN32" s="26">
        <f t="shared" si="32"/>
        <v>1.9547056447723692</v>
      </c>
      <c r="BO32" s="26">
        <f t="shared" si="33"/>
        <v>0.9821844815540359</v>
      </c>
      <c r="BP32" s="26">
        <f t="shared" si="34"/>
        <v>2.37810553278407</v>
      </c>
      <c r="BQ32" s="26">
        <f t="shared" si="35"/>
        <v>0.7381749268977691</v>
      </c>
      <c r="BR32" s="26">
        <f t="shared" si="36"/>
        <v>0.4524130731539019</v>
      </c>
      <c r="BS32" s="26">
        <f t="shared" si="37"/>
        <v>1.3428902885492058</v>
      </c>
      <c r="BT32" s="26">
        <f t="shared" si="38"/>
        <v>0.38339754968435147</v>
      </c>
      <c r="BU32" s="7" t="s">
        <v>73</v>
      </c>
      <c r="BV32" s="31">
        <f t="shared" si="39"/>
        <v>6.2302056163423165</v>
      </c>
      <c r="BW32" s="13"/>
    </row>
    <row r="33" spans="1:75" ht="15">
      <c r="A33" s="4" t="s">
        <v>30</v>
      </c>
      <c r="B33" s="10">
        <v>1</v>
      </c>
      <c r="C33" s="10">
        <v>8.3</v>
      </c>
      <c r="D33" s="16">
        <v>18.1</v>
      </c>
      <c r="E33" s="16">
        <v>2.5</v>
      </c>
      <c r="F33" s="13"/>
      <c r="G33" s="16">
        <v>8.3</v>
      </c>
      <c r="H33" s="16">
        <v>27.6</v>
      </c>
      <c r="I33" s="16">
        <v>19.6</v>
      </c>
      <c r="J33" s="16">
        <v>4.2</v>
      </c>
      <c r="K33" s="16">
        <v>6.1</v>
      </c>
      <c r="L33" s="16">
        <f>9+2</f>
        <v>11</v>
      </c>
      <c r="M33" s="16">
        <f>1.2+5.3+0.4</f>
        <v>6.9</v>
      </c>
      <c r="N33" s="16">
        <f>3.3+1.4</f>
        <v>4.699999999999999</v>
      </c>
      <c r="O33" s="16">
        <f>0.8+4.2</f>
        <v>5</v>
      </c>
      <c r="P33" s="16">
        <v>7.3</v>
      </c>
      <c r="Q33" s="7" t="s">
        <v>73</v>
      </c>
      <c r="R33" s="16">
        <v>144.2</v>
      </c>
      <c r="S33" s="16">
        <v>20.2</v>
      </c>
      <c r="T33" s="16">
        <v>7.6</v>
      </c>
      <c r="U33" s="16">
        <v>12.5</v>
      </c>
      <c r="V33" s="16">
        <v>0</v>
      </c>
      <c r="W33" s="16">
        <f>7.2+0.7</f>
        <v>7.9</v>
      </c>
      <c r="X33" s="16">
        <v>3.6</v>
      </c>
      <c r="Y33" s="16">
        <v>9</v>
      </c>
      <c r="Z33" s="16">
        <v>18.7</v>
      </c>
      <c r="AA33" s="16">
        <v>14.2</v>
      </c>
      <c r="AB33" s="16">
        <f>18.4+8.9</f>
        <v>27.299999999999997</v>
      </c>
      <c r="AC33" s="16">
        <v>54.5</v>
      </c>
      <c r="AD33" s="16">
        <v>42</v>
      </c>
      <c r="AE33" s="16">
        <v>14.6</v>
      </c>
      <c r="AF33" s="16">
        <v>32.9</v>
      </c>
      <c r="AG33" s="16">
        <v>13.9</v>
      </c>
      <c r="AH33" s="16">
        <v>4.9</v>
      </c>
      <c r="AI33" s="16">
        <v>17.7</v>
      </c>
      <c r="AJ33" s="16">
        <v>5.1</v>
      </c>
      <c r="AK33" s="13"/>
      <c r="AL33" s="10">
        <v>0</v>
      </c>
      <c r="AM33" s="19">
        <f t="shared" si="5"/>
        <v>0.3595127951903252</v>
      </c>
      <c r="AN33" s="26">
        <f t="shared" si="6"/>
        <v>0.7839977822825164</v>
      </c>
      <c r="AO33" s="26">
        <f t="shared" si="7"/>
        <v>0.10828698650310999</v>
      </c>
      <c r="AP33" s="26" t="str">
        <f t="shared" si="8"/>
        <v>ND</v>
      </c>
      <c r="AQ33" s="26">
        <f t="shared" si="9"/>
        <v>0.4150446112775655</v>
      </c>
      <c r="AR33" s="26">
        <f t="shared" si="10"/>
        <v>1.380148345935037</v>
      </c>
      <c r="AS33" s="26">
        <f t="shared" si="11"/>
        <v>0.9084750927601737</v>
      </c>
      <c r="AT33" s="26">
        <f t="shared" si="12"/>
        <v>0.19535263068480516</v>
      </c>
      <c r="AU33" s="26">
        <f t="shared" si="13"/>
        <v>0.2833739656991358</v>
      </c>
      <c r="AV33" s="26">
        <f t="shared" si="14"/>
        <v>0.5112565920146832</v>
      </c>
      <c r="AW33" s="26">
        <f t="shared" si="15"/>
        <v>0.3451289488034967</v>
      </c>
      <c r="AX33" s="26">
        <f t="shared" si="16"/>
        <v>0.22270764697126788</v>
      </c>
      <c r="AY33" s="26">
        <f t="shared" si="17"/>
        <v>0.2456260799012009</v>
      </c>
      <c r="AZ33" s="26">
        <f t="shared" si="18"/>
        <v>0.34004863394195434</v>
      </c>
      <c r="BA33" s="26" t="str">
        <f t="shared" si="19"/>
        <v>ND</v>
      </c>
      <c r="BB33" s="26">
        <f t="shared" si="20"/>
        <v>5.893991133262852</v>
      </c>
      <c r="BC33" s="26">
        <f t="shared" si="21"/>
        <v>0.9442568089820923</v>
      </c>
      <c r="BD33" s="26">
        <f t="shared" si="22"/>
        <v>0.3804471204783421</v>
      </c>
      <c r="BE33" s="26">
        <f t="shared" si="23"/>
        <v>0.6345560299039554</v>
      </c>
      <c r="BF33" s="26" t="str">
        <f t="shared" si="24"/>
        <v>ND</v>
      </c>
      <c r="BG33" s="26">
        <f t="shared" si="25"/>
        <v>0.36608402925984523</v>
      </c>
      <c r="BH33" s="26">
        <f t="shared" si="26"/>
        <v>0.16657558992051105</v>
      </c>
      <c r="BI33" s="26">
        <f t="shared" si="27"/>
        <v>0.39037533938256064</v>
      </c>
      <c r="BJ33" s="26">
        <f t="shared" si="28"/>
        <v>0.9288837833064939</v>
      </c>
      <c r="BK33" s="26">
        <f t="shared" si="29"/>
        <v>0.5793893555264916</v>
      </c>
      <c r="BL33" s="26">
        <f t="shared" si="30"/>
        <v>1.366255219657956</v>
      </c>
      <c r="BM33" s="26">
        <f t="shared" si="31"/>
        <v>2.5161695635126784</v>
      </c>
      <c r="BN33" s="26">
        <f t="shared" si="32"/>
        <v>1.9593708133756444</v>
      </c>
      <c r="BO33" s="26">
        <f t="shared" si="33"/>
        <v>0.6700884780695759</v>
      </c>
      <c r="BP33" s="26">
        <f t="shared" si="34"/>
        <v>1.4488828153443682</v>
      </c>
      <c r="BQ33" s="26">
        <f t="shared" si="35"/>
        <v>0.6886329854952342</v>
      </c>
      <c r="BR33" s="26">
        <f t="shared" si="36"/>
        <v>0.22853856272722883</v>
      </c>
      <c r="BS33" s="26">
        <f t="shared" si="37"/>
        <v>0.8224622182463994</v>
      </c>
      <c r="BT33" s="26">
        <f t="shared" si="38"/>
        <v>0.2539386368039211</v>
      </c>
      <c r="BU33" s="7" t="s">
        <v>73</v>
      </c>
      <c r="BV33" s="31">
        <f t="shared" si="39"/>
        <v>7.058724040365131</v>
      </c>
      <c r="BW33" s="13"/>
    </row>
    <row r="34" spans="1:75" ht="15">
      <c r="A34" s="4" t="s">
        <v>31</v>
      </c>
      <c r="B34" s="10">
        <v>20</v>
      </c>
      <c r="C34" s="10">
        <v>0</v>
      </c>
      <c r="D34" s="13"/>
      <c r="E34" s="13"/>
      <c r="F34" s="13"/>
      <c r="G34" s="13"/>
      <c r="H34" s="13"/>
      <c r="I34" s="13"/>
      <c r="J34" s="13"/>
      <c r="K34" s="13"/>
      <c r="L34" s="16">
        <v>0</v>
      </c>
      <c r="M34" s="13"/>
      <c r="N34" s="13"/>
      <c r="O34" s="13"/>
      <c r="P34" s="13"/>
      <c r="Q34" s="7" t="s">
        <v>73</v>
      </c>
      <c r="R34" s="16">
        <v>25.4</v>
      </c>
      <c r="S34" s="13"/>
      <c r="T34" s="13"/>
      <c r="U34" s="13"/>
      <c r="V34" s="13"/>
      <c r="W34" s="16">
        <v>64.7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>
        <v>0</v>
      </c>
      <c r="AM34" s="19" t="str">
        <f t="shared" si="5"/>
        <v>ND</v>
      </c>
      <c r="AN34" s="26" t="str">
        <f t="shared" si="6"/>
        <v>ND</v>
      </c>
      <c r="AO34" s="26" t="str">
        <f t="shared" si="7"/>
        <v>ND</v>
      </c>
      <c r="AP34" s="26" t="str">
        <f t="shared" si="8"/>
        <v>ND</v>
      </c>
      <c r="AQ34" s="26" t="str">
        <f t="shared" si="9"/>
        <v>ND</v>
      </c>
      <c r="AR34" s="26" t="str">
        <f t="shared" si="10"/>
        <v>ND</v>
      </c>
      <c r="AS34" s="26" t="str">
        <f t="shared" si="11"/>
        <v>ND</v>
      </c>
      <c r="AT34" s="26" t="str">
        <f t="shared" si="12"/>
        <v>ND</v>
      </c>
      <c r="AU34" s="26" t="str">
        <f t="shared" si="13"/>
        <v>ND</v>
      </c>
      <c r="AV34" s="26" t="str">
        <f t="shared" si="14"/>
        <v>ND</v>
      </c>
      <c r="AW34" s="26" t="str">
        <f t="shared" si="15"/>
        <v>ND</v>
      </c>
      <c r="AX34" s="26" t="str">
        <f t="shared" si="16"/>
        <v>ND</v>
      </c>
      <c r="AY34" s="26" t="str">
        <f t="shared" si="17"/>
        <v>ND</v>
      </c>
      <c r="AZ34" s="26" t="str">
        <f t="shared" si="18"/>
        <v>ND</v>
      </c>
      <c r="BA34" s="26" t="str">
        <f t="shared" si="19"/>
        <v>ND</v>
      </c>
      <c r="BB34" s="26">
        <f t="shared" si="20"/>
        <v>1.038192612932569</v>
      </c>
      <c r="BC34" s="26" t="str">
        <f t="shared" si="21"/>
        <v>ND</v>
      </c>
      <c r="BD34" s="26" t="str">
        <f t="shared" si="22"/>
        <v>ND</v>
      </c>
      <c r="BE34" s="26" t="str">
        <f t="shared" si="23"/>
        <v>ND</v>
      </c>
      <c r="BF34" s="26" t="str">
        <f t="shared" si="24"/>
        <v>ND</v>
      </c>
      <c r="BG34" s="26">
        <f t="shared" si="25"/>
        <v>2.9981818598875933</v>
      </c>
      <c r="BH34" s="26" t="str">
        <f t="shared" si="26"/>
        <v>ND</v>
      </c>
      <c r="BI34" s="26" t="str">
        <f t="shared" si="27"/>
        <v>ND</v>
      </c>
      <c r="BJ34" s="26" t="str">
        <f t="shared" si="28"/>
        <v>ND</v>
      </c>
      <c r="BK34" s="26" t="str">
        <f t="shared" si="29"/>
        <v>ND</v>
      </c>
      <c r="BL34" s="26" t="str">
        <f t="shared" si="30"/>
        <v>ND</v>
      </c>
      <c r="BM34" s="26" t="str">
        <f t="shared" si="31"/>
        <v>ND</v>
      </c>
      <c r="BN34" s="26" t="str">
        <f t="shared" si="32"/>
        <v>ND</v>
      </c>
      <c r="BO34" s="26" t="str">
        <f t="shared" si="33"/>
        <v>ND</v>
      </c>
      <c r="BP34" s="26" t="str">
        <f t="shared" si="34"/>
        <v>ND</v>
      </c>
      <c r="BQ34" s="26" t="str">
        <f t="shared" si="35"/>
        <v>ND</v>
      </c>
      <c r="BR34" s="26" t="str">
        <f t="shared" si="36"/>
        <v>ND</v>
      </c>
      <c r="BS34" s="26" t="str">
        <f t="shared" si="37"/>
        <v>ND</v>
      </c>
      <c r="BT34" s="26" t="str">
        <f t="shared" si="38"/>
        <v>ND</v>
      </c>
      <c r="BU34" s="7" t="s">
        <v>73</v>
      </c>
      <c r="BV34" s="31">
        <f t="shared" si="39"/>
        <v>1.1786213460634873</v>
      </c>
      <c r="BW34" s="13"/>
    </row>
    <row r="35" spans="1:75" ht="15">
      <c r="A35" s="4" t="s">
        <v>32</v>
      </c>
      <c r="B35" s="10">
        <v>0.5</v>
      </c>
      <c r="C35" s="10">
        <v>0</v>
      </c>
      <c r="D35" s="16">
        <v>0.4</v>
      </c>
      <c r="E35" s="13"/>
      <c r="F35" s="13"/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f>0.3+1.9</f>
        <v>2.1999999999999997</v>
      </c>
      <c r="N35" s="16">
        <v>0</v>
      </c>
      <c r="O35" s="13"/>
      <c r="P35" s="16">
        <v>0</v>
      </c>
      <c r="Q35" s="7" t="s">
        <v>73</v>
      </c>
      <c r="R35" s="13"/>
      <c r="S35" s="16">
        <v>0</v>
      </c>
      <c r="T35" s="13"/>
      <c r="U35" s="13"/>
      <c r="V35" s="16">
        <v>0</v>
      </c>
      <c r="W35" s="13"/>
      <c r="X35" s="13"/>
      <c r="Y35" s="13"/>
      <c r="Z35" s="13"/>
      <c r="AA35" s="16">
        <v>5.6</v>
      </c>
      <c r="AB35" s="16">
        <v>4.6</v>
      </c>
      <c r="AC35" s="16">
        <v>4.7</v>
      </c>
      <c r="AD35" s="13"/>
      <c r="AE35" s="13"/>
      <c r="AF35" s="13"/>
      <c r="AG35" s="13"/>
      <c r="AH35" s="16">
        <v>2</v>
      </c>
      <c r="AI35" s="13"/>
      <c r="AJ35" s="13"/>
      <c r="AK35" s="13"/>
      <c r="AL35" s="10">
        <v>0.2</v>
      </c>
      <c r="AM35" s="19" t="str">
        <f t="shared" si="5"/>
        <v>ND</v>
      </c>
      <c r="AN35" s="26">
        <f t="shared" si="6"/>
        <v>0.0086629589202488</v>
      </c>
      <c r="AO35" s="26" t="str">
        <f t="shared" si="7"/>
        <v>ND</v>
      </c>
      <c r="AP35" s="26" t="str">
        <f t="shared" si="8"/>
        <v>ND</v>
      </c>
      <c r="AQ35" s="26" t="str">
        <f t="shared" si="9"/>
        <v>ND</v>
      </c>
      <c r="AR35" s="26" t="str">
        <f t="shared" si="10"/>
        <v>ND</v>
      </c>
      <c r="AS35" s="26" t="str">
        <f t="shared" si="11"/>
        <v>ND</v>
      </c>
      <c r="AT35" s="26" t="str">
        <f t="shared" si="12"/>
        <v>ND</v>
      </c>
      <c r="AU35" s="26" t="str">
        <f t="shared" si="13"/>
        <v>ND</v>
      </c>
      <c r="AV35" s="26" t="str">
        <f t="shared" si="14"/>
        <v>ND</v>
      </c>
      <c r="AW35" s="26">
        <f t="shared" si="15"/>
        <v>0.10003737646478164</v>
      </c>
      <c r="AX35" s="26" t="str">
        <f t="shared" si="16"/>
        <v>ND</v>
      </c>
      <c r="AY35" s="26" t="str">
        <f t="shared" si="17"/>
        <v>ND</v>
      </c>
      <c r="AZ35" s="26" t="str">
        <f t="shared" si="18"/>
        <v>ND</v>
      </c>
      <c r="BA35" s="26" t="str">
        <f t="shared" si="19"/>
        <v>ND</v>
      </c>
      <c r="BB35" s="26" t="str">
        <f t="shared" si="20"/>
        <v>ND</v>
      </c>
      <c r="BC35" s="26" t="str">
        <f t="shared" si="21"/>
        <v>ND</v>
      </c>
      <c r="BD35" s="26" t="str">
        <f t="shared" si="22"/>
        <v>ND</v>
      </c>
      <c r="BE35" s="26" t="str">
        <f t="shared" si="23"/>
        <v>ND</v>
      </c>
      <c r="BF35" s="26" t="str">
        <f t="shared" si="24"/>
        <v>ND</v>
      </c>
      <c r="BG35" s="26" t="str">
        <f t="shared" si="25"/>
        <v>ND</v>
      </c>
      <c r="BH35" s="26" t="str">
        <f t="shared" si="26"/>
        <v>ND</v>
      </c>
      <c r="BI35" s="26" t="str">
        <f t="shared" si="27"/>
        <v>ND</v>
      </c>
      <c r="BJ35" s="26" t="str">
        <f t="shared" si="28"/>
        <v>ND</v>
      </c>
      <c r="BK35" s="26">
        <f t="shared" si="29"/>
        <v>0.2203311633692292</v>
      </c>
      <c r="BL35" s="26">
        <f t="shared" si="30"/>
        <v>0.22020230646501857</v>
      </c>
      <c r="BM35" s="26">
        <f t="shared" si="31"/>
        <v>0.2077571199230652</v>
      </c>
      <c r="BN35" s="26" t="str">
        <f t="shared" si="32"/>
        <v>ND</v>
      </c>
      <c r="BO35" s="26" t="str">
        <f t="shared" si="33"/>
        <v>ND</v>
      </c>
      <c r="BP35" s="26" t="str">
        <f t="shared" si="34"/>
        <v>ND</v>
      </c>
      <c r="BQ35" s="26" t="str">
        <f t="shared" si="35"/>
        <v>ND</v>
      </c>
      <c r="BR35" s="26">
        <f t="shared" si="36"/>
        <v>0.08395294141000242</v>
      </c>
      <c r="BS35" s="26" t="str">
        <f t="shared" si="37"/>
        <v>ND</v>
      </c>
      <c r="BT35" s="26" t="str">
        <f t="shared" si="38"/>
        <v>ND</v>
      </c>
      <c r="BU35" s="7" t="s">
        <v>73</v>
      </c>
      <c r="BV35" s="31">
        <f t="shared" si="39"/>
        <v>0.24302602502857235</v>
      </c>
      <c r="BW35" s="13"/>
    </row>
    <row r="36" spans="1:75" ht="15">
      <c r="A36" s="4" t="s">
        <v>33</v>
      </c>
      <c r="B36" s="10">
        <v>10</v>
      </c>
      <c r="C36" s="10">
        <v>45.4</v>
      </c>
      <c r="D36" s="16">
        <v>77.6</v>
      </c>
      <c r="E36" s="16">
        <v>25.1</v>
      </c>
      <c r="F36" s="13"/>
      <c r="G36" s="16">
        <v>39.5</v>
      </c>
      <c r="H36" s="16">
        <v>72.6</v>
      </c>
      <c r="I36" s="16">
        <v>75.6</v>
      </c>
      <c r="J36" s="16">
        <v>24.8</v>
      </c>
      <c r="K36" s="16">
        <v>22</v>
      </c>
      <c r="L36" s="16">
        <f>15.3+15.7+10.2</f>
        <v>41.2</v>
      </c>
      <c r="M36" s="16">
        <f>4.1+18.4</f>
        <v>22.5</v>
      </c>
      <c r="N36" s="16">
        <f>15.2+9.1</f>
        <v>24.299999999999997</v>
      </c>
      <c r="O36" s="16">
        <f>5.6+30.7</f>
        <v>36.3</v>
      </c>
      <c r="P36" s="16">
        <v>36.2</v>
      </c>
      <c r="Q36" s="7" t="s">
        <v>73</v>
      </c>
      <c r="R36" s="16">
        <v>100.5</v>
      </c>
      <c r="S36" s="16">
        <v>40.9</v>
      </c>
      <c r="T36" s="16">
        <v>39.1</v>
      </c>
      <c r="U36" s="16">
        <v>70.1</v>
      </c>
      <c r="V36" s="16">
        <v>51.2</v>
      </c>
      <c r="W36" s="16">
        <f>48.9+3.7</f>
        <v>52.6</v>
      </c>
      <c r="X36" s="16">
        <v>20.2</v>
      </c>
      <c r="Y36" s="16">
        <v>21.7</v>
      </c>
      <c r="Z36" s="16">
        <v>107</v>
      </c>
      <c r="AA36" s="16">
        <v>138.7</v>
      </c>
      <c r="AB36" s="16">
        <f>114+46.5</f>
        <v>160.5</v>
      </c>
      <c r="AC36" s="16">
        <v>124.8</v>
      </c>
      <c r="AD36" s="16">
        <v>223.7</v>
      </c>
      <c r="AE36" s="16">
        <v>88.4</v>
      </c>
      <c r="AF36" s="16">
        <v>191.8</v>
      </c>
      <c r="AG36" s="16">
        <v>49.7</v>
      </c>
      <c r="AH36" s="16">
        <v>35.5</v>
      </c>
      <c r="AI36" s="16">
        <f>17.4+87.8</f>
        <v>105.19999999999999</v>
      </c>
      <c r="AJ36" s="16">
        <v>31.3</v>
      </c>
      <c r="AK36" s="13"/>
      <c r="AL36" s="10">
        <v>0</v>
      </c>
      <c r="AM36" s="19">
        <f t="shared" si="5"/>
        <v>1.9664916748964774</v>
      </c>
      <c r="AN36" s="26">
        <f t="shared" si="6"/>
        <v>3.3612280610565337</v>
      </c>
      <c r="AO36" s="26">
        <f t="shared" si="7"/>
        <v>1.0872013444912243</v>
      </c>
      <c r="AP36" s="26" t="str">
        <f t="shared" si="8"/>
        <v>ND</v>
      </c>
      <c r="AQ36" s="26">
        <f t="shared" si="9"/>
        <v>1.9752123066823897</v>
      </c>
      <c r="AR36" s="26">
        <f t="shared" si="10"/>
        <v>3.630390214307379</v>
      </c>
      <c r="AS36" s="26">
        <f t="shared" si="11"/>
        <v>3.504118214932098</v>
      </c>
      <c r="AT36" s="26">
        <f t="shared" si="12"/>
        <v>1.153510771662659</v>
      </c>
      <c r="AU36" s="26">
        <f t="shared" si="13"/>
        <v>1.0220044664558996</v>
      </c>
      <c r="AV36" s="26">
        <f t="shared" si="14"/>
        <v>1.9148883264549954</v>
      </c>
      <c r="AW36" s="26">
        <f t="shared" si="15"/>
        <v>1.1254204852287935</v>
      </c>
      <c r="AX36" s="26">
        <f t="shared" si="16"/>
        <v>1.1514459194471935</v>
      </c>
      <c r="AY36" s="26">
        <f t="shared" si="17"/>
        <v>1.7832453400827184</v>
      </c>
      <c r="AZ36" s="26">
        <f t="shared" si="18"/>
        <v>1.686268568314897</v>
      </c>
      <c r="BA36" s="26" t="str">
        <f t="shared" si="19"/>
        <v>ND</v>
      </c>
      <c r="BB36" s="26">
        <f t="shared" si="20"/>
        <v>4.10780935431981</v>
      </c>
      <c r="BC36" s="26">
        <f t="shared" si="21"/>
        <v>1.9118863112558204</v>
      </c>
      <c r="BD36" s="26">
        <f t="shared" si="22"/>
        <v>1.9573003171977865</v>
      </c>
      <c r="BE36" s="26">
        <f t="shared" si="23"/>
        <v>3.558590215701382</v>
      </c>
      <c r="BF36" s="26">
        <f t="shared" si="24"/>
        <v>2.2141502415278977</v>
      </c>
      <c r="BG36" s="26">
        <f t="shared" si="25"/>
        <v>2.4374708783630203</v>
      </c>
      <c r="BH36" s="26">
        <f t="shared" si="26"/>
        <v>0.9346741434428675</v>
      </c>
      <c r="BI36" s="26">
        <f t="shared" si="27"/>
        <v>0.9412383182890629</v>
      </c>
      <c r="BJ36" s="26">
        <f t="shared" si="28"/>
        <v>5.315003465978335</v>
      </c>
      <c r="BK36" s="26">
        <f t="shared" si="29"/>
        <v>5.659246733205943</v>
      </c>
      <c r="BL36" s="26">
        <f t="shared" si="30"/>
        <v>8.032379588098973</v>
      </c>
      <c r="BM36" s="26">
        <f t="shared" si="31"/>
        <v>5.761797459199675</v>
      </c>
      <c r="BN36" s="26">
        <f t="shared" si="32"/>
        <v>10.435982165526944</v>
      </c>
      <c r="BO36" s="26">
        <f t="shared" si="33"/>
        <v>4.057248045297981</v>
      </c>
      <c r="BP36" s="26">
        <f t="shared" si="34"/>
        <v>8.446678540518233</v>
      </c>
      <c r="BQ36" s="26">
        <f t="shared" si="35"/>
        <v>2.4622344877059814</v>
      </c>
      <c r="BR36" s="26">
        <f t="shared" si="36"/>
        <v>1.65573856669727</v>
      </c>
      <c r="BS36" s="26">
        <f t="shared" si="37"/>
        <v>4.888306517487075</v>
      </c>
      <c r="BT36" s="26">
        <f t="shared" si="38"/>
        <v>1.558486143522104</v>
      </c>
      <c r="BU36" s="7" t="s">
        <v>73</v>
      </c>
      <c r="BV36" s="31">
        <f t="shared" si="39"/>
        <v>27.654160442299766</v>
      </c>
      <c r="BW36" s="13"/>
    </row>
    <row r="37" spans="1:75" ht="15">
      <c r="A37" s="4" t="s">
        <v>34</v>
      </c>
      <c r="B37" s="10">
        <v>10</v>
      </c>
      <c r="C37" s="10">
        <v>17.4</v>
      </c>
      <c r="D37" s="16">
        <v>20</v>
      </c>
      <c r="E37" s="13"/>
      <c r="F37" s="13"/>
      <c r="G37" s="16">
        <v>0</v>
      </c>
      <c r="H37" s="16">
        <v>0</v>
      </c>
      <c r="I37" s="16">
        <v>39.1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3"/>
      <c r="P37" s="16">
        <v>0</v>
      </c>
      <c r="Q37" s="7" t="s">
        <v>73</v>
      </c>
      <c r="R37" s="16">
        <v>32.3</v>
      </c>
      <c r="S37" s="16">
        <v>0</v>
      </c>
      <c r="T37" s="13"/>
      <c r="U37" s="16">
        <v>47.2</v>
      </c>
      <c r="V37" s="16">
        <v>0</v>
      </c>
      <c r="W37" s="16">
        <v>23.2</v>
      </c>
      <c r="X37" s="16">
        <v>8.8</v>
      </c>
      <c r="Y37" s="13"/>
      <c r="Z37" s="16">
        <v>37.6</v>
      </c>
      <c r="AA37" s="16">
        <v>68.5</v>
      </c>
      <c r="AB37" s="16">
        <f>39.1+30.2</f>
        <v>69.3</v>
      </c>
      <c r="AC37" s="16">
        <v>46.2</v>
      </c>
      <c r="AD37" s="16">
        <v>58.2</v>
      </c>
      <c r="AE37" s="16">
        <v>33.9</v>
      </c>
      <c r="AF37" s="16">
        <v>69.4</v>
      </c>
      <c r="AG37" s="16">
        <v>33.2</v>
      </c>
      <c r="AH37" s="13"/>
      <c r="AI37" s="16">
        <v>39.9</v>
      </c>
      <c r="AJ37" s="13"/>
      <c r="AK37" s="13"/>
      <c r="AL37" s="10">
        <v>0</v>
      </c>
      <c r="AM37" s="19">
        <f t="shared" si="5"/>
        <v>0.7536774260616455</v>
      </c>
      <c r="AN37" s="26">
        <f t="shared" si="6"/>
        <v>0.8662958920248799</v>
      </c>
      <c r="AO37" s="26" t="str">
        <f t="shared" si="7"/>
        <v>ND</v>
      </c>
      <c r="AP37" s="26" t="str">
        <f t="shared" si="8"/>
        <v>ND</v>
      </c>
      <c r="AQ37" s="26" t="str">
        <f t="shared" si="9"/>
        <v>ND</v>
      </c>
      <c r="AR37" s="26" t="str">
        <f t="shared" si="10"/>
        <v>ND</v>
      </c>
      <c r="AS37" s="26">
        <f t="shared" si="11"/>
        <v>1.8123151085164688</v>
      </c>
      <c r="AT37" s="26" t="str">
        <f t="shared" si="12"/>
        <v>ND</v>
      </c>
      <c r="AU37" s="26" t="str">
        <f t="shared" si="13"/>
        <v>ND</v>
      </c>
      <c r="AV37" s="26" t="str">
        <f t="shared" si="14"/>
        <v>ND</v>
      </c>
      <c r="AW37" s="26" t="str">
        <f t="shared" si="15"/>
        <v>ND</v>
      </c>
      <c r="AX37" s="26" t="str">
        <f t="shared" si="16"/>
        <v>ND</v>
      </c>
      <c r="AY37" s="26" t="str">
        <f t="shared" si="17"/>
        <v>ND</v>
      </c>
      <c r="AZ37" s="26" t="str">
        <f t="shared" si="18"/>
        <v>ND</v>
      </c>
      <c r="BA37" s="26" t="str">
        <f t="shared" si="19"/>
        <v>ND</v>
      </c>
      <c r="BB37" s="26">
        <f t="shared" si="20"/>
        <v>1.3202213148709439</v>
      </c>
      <c r="BC37" s="26" t="str">
        <f t="shared" si="21"/>
        <v>ND</v>
      </c>
      <c r="BD37" s="26" t="str">
        <f t="shared" si="22"/>
        <v>ND</v>
      </c>
      <c r="BE37" s="26">
        <f t="shared" si="23"/>
        <v>2.396083568917336</v>
      </c>
      <c r="BF37" s="26" t="str">
        <f t="shared" si="24"/>
        <v>ND</v>
      </c>
      <c r="BG37" s="26">
        <f t="shared" si="25"/>
        <v>1.0750822125099253</v>
      </c>
      <c r="BH37" s="26">
        <f t="shared" si="26"/>
        <v>0.40718477536124925</v>
      </c>
      <c r="BI37" s="26" t="str">
        <f t="shared" si="27"/>
        <v>ND</v>
      </c>
      <c r="BJ37" s="26">
        <f t="shared" si="28"/>
        <v>1.8677021525307045</v>
      </c>
      <c r="BK37" s="26">
        <f t="shared" si="29"/>
        <v>2.794941609405963</v>
      </c>
      <c r="BL37" s="26">
        <f t="shared" si="30"/>
        <v>3.4681863268240427</v>
      </c>
      <c r="BM37" s="26">
        <f t="shared" si="31"/>
        <v>2.132973097876803</v>
      </c>
      <c r="BN37" s="26">
        <f t="shared" si="32"/>
        <v>2.7151281271062504</v>
      </c>
      <c r="BO37" s="26">
        <f t="shared" si="33"/>
        <v>1.5558903703122344</v>
      </c>
      <c r="BP37" s="26">
        <f t="shared" si="34"/>
        <v>3.0563059995410082</v>
      </c>
      <c r="BQ37" s="26">
        <f t="shared" si="35"/>
        <v>1.6447924545641568</v>
      </c>
      <c r="BR37" s="26" t="str">
        <f t="shared" si="36"/>
        <v>ND</v>
      </c>
      <c r="BS37" s="26">
        <f t="shared" si="37"/>
        <v>1.854025000453748</v>
      </c>
      <c r="BT37" s="26" t="str">
        <f t="shared" si="38"/>
        <v>ND</v>
      </c>
      <c r="BU37" s="7" t="s">
        <v>73</v>
      </c>
      <c r="BV37" s="31">
        <f t="shared" si="39"/>
        <v>8.425516787096925</v>
      </c>
      <c r="BW37" s="13"/>
    </row>
    <row r="38" spans="1:75" ht="15.75" thickBot="1">
      <c r="A38" s="4" t="s">
        <v>35</v>
      </c>
      <c r="B38" s="10">
        <v>500</v>
      </c>
      <c r="C38" s="10">
        <v>0</v>
      </c>
      <c r="D38" s="16">
        <v>0</v>
      </c>
      <c r="E38" s="13"/>
      <c r="F38" s="13"/>
      <c r="G38" s="16">
        <v>0</v>
      </c>
      <c r="H38" s="16">
        <v>461.5</v>
      </c>
      <c r="I38" s="13"/>
      <c r="J38" s="13"/>
      <c r="K38" s="16">
        <v>0</v>
      </c>
      <c r="L38" s="16">
        <v>0</v>
      </c>
      <c r="M38" s="13"/>
      <c r="N38" s="13"/>
      <c r="O38" s="13"/>
      <c r="P38" s="13"/>
      <c r="Q38" s="13"/>
      <c r="R38" s="13"/>
      <c r="S38" s="13"/>
      <c r="T38" s="13"/>
      <c r="U38" s="13"/>
      <c r="V38" s="16">
        <v>1240</v>
      </c>
      <c r="W38" s="16">
        <v>832</v>
      </c>
      <c r="X38" s="13"/>
      <c r="Y38" s="13"/>
      <c r="Z38" s="13"/>
      <c r="AA38" s="13"/>
      <c r="AB38" s="13"/>
      <c r="AC38" s="16">
        <v>1401</v>
      </c>
      <c r="AD38" s="16">
        <v>1119</v>
      </c>
      <c r="AE38" s="13"/>
      <c r="AF38" s="13"/>
      <c r="AG38" s="13"/>
      <c r="AH38" s="13"/>
      <c r="AI38" s="13"/>
      <c r="AJ38" s="13"/>
      <c r="AK38" s="13"/>
      <c r="AL38" s="10">
        <v>0</v>
      </c>
      <c r="AM38" s="19" t="str">
        <f t="shared" si="5"/>
        <v>ND</v>
      </c>
      <c r="AN38" s="26" t="str">
        <f t="shared" si="6"/>
        <v>ND</v>
      </c>
      <c r="AO38" s="26" t="str">
        <f t="shared" si="7"/>
        <v>ND</v>
      </c>
      <c r="AP38" s="26" t="str">
        <f t="shared" si="8"/>
        <v>ND</v>
      </c>
      <c r="AQ38" s="26" t="str">
        <f t="shared" si="9"/>
        <v>ND</v>
      </c>
      <c r="AR38" s="26">
        <f t="shared" si="10"/>
        <v>23.07748049452969</v>
      </c>
      <c r="AS38" s="26" t="str">
        <f t="shared" si="11"/>
        <v>ND</v>
      </c>
      <c r="AT38" s="26" t="str">
        <f t="shared" si="12"/>
        <v>ND</v>
      </c>
      <c r="AU38" s="26" t="str">
        <f t="shared" si="13"/>
        <v>ND</v>
      </c>
      <c r="AV38" s="26" t="str">
        <f t="shared" si="14"/>
        <v>ND</v>
      </c>
      <c r="AW38" s="26" t="str">
        <f t="shared" si="15"/>
        <v>ND</v>
      </c>
      <c r="AX38" s="26" t="str">
        <f t="shared" si="16"/>
        <v>ND</v>
      </c>
      <c r="AY38" s="26" t="str">
        <f t="shared" si="17"/>
        <v>ND</v>
      </c>
      <c r="AZ38" s="26" t="str">
        <f t="shared" si="18"/>
        <v>ND</v>
      </c>
      <c r="BA38" s="26" t="str">
        <f t="shared" si="19"/>
        <v>ND</v>
      </c>
      <c r="BB38" s="26" t="str">
        <f t="shared" si="20"/>
        <v>ND</v>
      </c>
      <c r="BC38" s="26" t="str">
        <f t="shared" si="21"/>
        <v>ND</v>
      </c>
      <c r="BD38" s="26" t="str">
        <f t="shared" si="22"/>
        <v>ND</v>
      </c>
      <c r="BE38" s="26" t="str">
        <f t="shared" si="23"/>
        <v>ND</v>
      </c>
      <c r="BF38" s="26">
        <f t="shared" si="24"/>
        <v>53.62395116200377</v>
      </c>
      <c r="BG38" s="26">
        <f t="shared" si="25"/>
        <v>38.554672448631806</v>
      </c>
      <c r="BH38" s="26" t="str">
        <f t="shared" si="26"/>
        <v>ND</v>
      </c>
      <c r="BI38" s="26" t="str">
        <f t="shared" si="27"/>
        <v>ND</v>
      </c>
      <c r="BJ38" s="26" t="str">
        <f t="shared" si="28"/>
        <v>ND</v>
      </c>
      <c r="BK38" s="26" t="str">
        <f t="shared" si="29"/>
        <v>ND</v>
      </c>
      <c r="BL38" s="26" t="str">
        <f t="shared" si="30"/>
        <v>ND</v>
      </c>
      <c r="BM38" s="26">
        <f t="shared" si="31"/>
        <v>64.68171666938096</v>
      </c>
      <c r="BN38" s="26">
        <f t="shared" si="32"/>
        <v>52.2032366706511</v>
      </c>
      <c r="BO38" s="26" t="str">
        <f t="shared" si="33"/>
        <v>ND</v>
      </c>
      <c r="BP38" s="26" t="str">
        <f t="shared" si="34"/>
        <v>ND</v>
      </c>
      <c r="BQ38" s="26" t="str">
        <f t="shared" si="35"/>
        <v>ND</v>
      </c>
      <c r="BR38" s="26" t="str">
        <f t="shared" si="36"/>
        <v>ND</v>
      </c>
      <c r="BS38" s="26" t="str">
        <f t="shared" si="37"/>
        <v>ND</v>
      </c>
      <c r="BT38" s="26" t="str">
        <f t="shared" si="38"/>
        <v>ND</v>
      </c>
      <c r="BU38" s="7" t="s">
        <v>73</v>
      </c>
      <c r="BV38" s="31">
        <f t="shared" si="39"/>
        <v>61.046564469594955</v>
      </c>
      <c r="BW38" s="13"/>
    </row>
    <row r="39" spans="1:75" ht="15.75" thickTop="1">
      <c r="A39" s="3" t="s">
        <v>36</v>
      </c>
      <c r="B39" s="12"/>
      <c r="C39" s="12"/>
      <c r="D39" s="12"/>
      <c r="E39" s="12"/>
      <c r="F39" s="12"/>
      <c r="G39" s="12"/>
      <c r="H39" s="12"/>
      <c r="I39" s="12"/>
      <c r="J39" s="12"/>
      <c r="K39" s="15">
        <f>2720+5590</f>
        <v>8310</v>
      </c>
      <c r="L39" s="12"/>
      <c r="M39" s="15">
        <f>350+3330+5640+990+670</f>
        <v>10980</v>
      </c>
      <c r="N39" s="12"/>
      <c r="O39" s="15">
        <f>1180+4950</f>
        <v>6130</v>
      </c>
      <c r="P39" s="12"/>
      <c r="Q39" s="12"/>
      <c r="R39" s="15">
        <v>12640</v>
      </c>
      <c r="S39" s="12"/>
      <c r="T39" s="12"/>
      <c r="U39" s="15">
        <v>10540</v>
      </c>
      <c r="V39" s="12"/>
      <c r="W39" s="15">
        <f>17770+1140</f>
        <v>18910</v>
      </c>
      <c r="X39" s="15">
        <v>3960</v>
      </c>
      <c r="Y39" s="15">
        <v>3990</v>
      </c>
      <c r="Z39" s="15">
        <v>19240</v>
      </c>
      <c r="AA39" s="15">
        <v>27770</v>
      </c>
      <c r="AB39" s="15">
        <f>20570+11290</f>
        <v>31860</v>
      </c>
      <c r="AC39" s="15">
        <v>28330</v>
      </c>
      <c r="AD39" s="15">
        <v>45530</v>
      </c>
      <c r="AE39" s="15">
        <v>18010</v>
      </c>
      <c r="AF39" s="15">
        <v>29290</v>
      </c>
      <c r="AG39" s="15">
        <v>7920</v>
      </c>
      <c r="AH39" s="15">
        <v>4920</v>
      </c>
      <c r="AI39" s="15">
        <f>1920+13110</f>
        <v>15030</v>
      </c>
      <c r="AJ39" s="15">
        <f>1100+6420+1020</f>
        <v>8540</v>
      </c>
      <c r="AK39" s="13"/>
      <c r="AL39" s="18"/>
      <c r="AM39" s="20" t="str">
        <f aca="true" t="shared" si="40" ref="AM39:BT39">IF(C39=0,"ND",C39/(0.06413*AM$4))</f>
        <v>ND</v>
      </c>
      <c r="AN39" s="20" t="str">
        <f t="shared" si="40"/>
        <v>ND</v>
      </c>
      <c r="AO39" s="20" t="str">
        <f t="shared" si="40"/>
        <v>ND</v>
      </c>
      <c r="AP39" s="20" t="str">
        <f t="shared" si="40"/>
        <v>ND</v>
      </c>
      <c r="AQ39" s="20" t="str">
        <f t="shared" si="40"/>
        <v>ND</v>
      </c>
      <c r="AR39" s="20" t="str">
        <f t="shared" si="40"/>
        <v>ND</v>
      </c>
      <c r="AS39" s="20" t="str">
        <f t="shared" si="40"/>
        <v>ND</v>
      </c>
      <c r="AT39" s="20" t="str">
        <f t="shared" si="40"/>
        <v>ND</v>
      </c>
      <c r="AU39" s="20">
        <f t="shared" si="40"/>
        <v>386.0389598294785</v>
      </c>
      <c r="AV39" s="20" t="str">
        <f t="shared" si="40"/>
        <v>ND</v>
      </c>
      <c r="AW39" s="20">
        <f t="shared" si="40"/>
        <v>549.2051967916512</v>
      </c>
      <c r="AX39" s="20" t="str">
        <f t="shared" si="40"/>
        <v>ND</v>
      </c>
      <c r="AY39" s="20">
        <f t="shared" si="40"/>
        <v>301.1375739588723</v>
      </c>
      <c r="AZ39" s="20" t="str">
        <f t="shared" si="40"/>
        <v>ND</v>
      </c>
      <c r="BA39" s="20" t="str">
        <f t="shared" si="40"/>
        <v>ND</v>
      </c>
      <c r="BB39" s="20">
        <f t="shared" si="40"/>
        <v>516.6438829711682</v>
      </c>
      <c r="BC39" s="20" t="str">
        <f t="shared" si="40"/>
        <v>ND</v>
      </c>
      <c r="BD39" s="20" t="str">
        <f t="shared" si="40"/>
        <v>ND</v>
      </c>
      <c r="BE39" s="20">
        <f t="shared" si="40"/>
        <v>535.0576444150153</v>
      </c>
      <c r="BF39" s="20" t="str">
        <f t="shared" si="40"/>
        <v>ND</v>
      </c>
      <c r="BG39" s="20">
        <f t="shared" si="40"/>
        <v>876.2846826966676</v>
      </c>
      <c r="BH39" s="20">
        <f t="shared" si="40"/>
        <v>183.23314891256214</v>
      </c>
      <c r="BI39" s="20">
        <f t="shared" si="40"/>
        <v>173.06640045960188</v>
      </c>
      <c r="BJ39" s="20">
        <f t="shared" si="40"/>
        <v>955.7071652843285</v>
      </c>
      <c r="BK39" s="20">
        <f t="shared" si="40"/>
        <v>1133.0734086599066</v>
      </c>
      <c r="BL39" s="20">
        <f t="shared" si="40"/>
        <v>1594.4648827217027</v>
      </c>
      <c r="BM39" s="20">
        <f t="shared" si="40"/>
        <v>1307.946490537875</v>
      </c>
      <c r="BN39" s="20">
        <f t="shared" si="40"/>
        <v>2124.051265071264</v>
      </c>
      <c r="BO39" s="20">
        <f t="shared" si="40"/>
        <v>826.5954445228125</v>
      </c>
      <c r="BP39" s="20">
        <f t="shared" si="40"/>
        <v>1289.9020565786186</v>
      </c>
      <c r="BQ39" s="20">
        <f t="shared" si="40"/>
        <v>392.3721759080759</v>
      </c>
      <c r="BR39" s="20">
        <f t="shared" si="40"/>
        <v>229.47137318733994</v>
      </c>
      <c r="BS39" s="20">
        <f t="shared" si="40"/>
        <v>698.3958836295698</v>
      </c>
      <c r="BT39" s="20">
        <f t="shared" si="40"/>
        <v>425.22273692264434</v>
      </c>
      <c r="BU39" s="13"/>
      <c r="BV39" s="32">
        <f t="shared" si="39"/>
        <v>4233.378148933274</v>
      </c>
      <c r="BW39" s="13"/>
    </row>
    <row r="40" spans="1:75" ht="15">
      <c r="A40" s="6" t="s">
        <v>37</v>
      </c>
      <c r="B40" s="12"/>
      <c r="C40" s="15" t="e">
        <f aca="true" t="shared" si="41" ref="C40:AJ40">SUM(C7:C38)*100/(C39*1000)</f>
        <v>#DIV/0!</v>
      </c>
      <c r="D40" s="15" t="e">
        <f t="shared" si="41"/>
        <v>#DIV/0!</v>
      </c>
      <c r="E40" s="15" t="e">
        <f t="shared" si="41"/>
        <v>#DIV/0!</v>
      </c>
      <c r="F40" s="15" t="e">
        <f t="shared" si="41"/>
        <v>#DIV/0!</v>
      </c>
      <c r="G40" s="15" t="e">
        <f t="shared" si="41"/>
        <v>#DIV/0!</v>
      </c>
      <c r="H40" s="15" t="e">
        <f t="shared" si="41"/>
        <v>#DIV/0!</v>
      </c>
      <c r="I40" s="15" t="e">
        <f t="shared" si="41"/>
        <v>#DIV/0!</v>
      </c>
      <c r="J40" s="15" t="e">
        <f t="shared" si="41"/>
        <v>#DIV/0!</v>
      </c>
      <c r="K40" s="15">
        <f t="shared" si="41"/>
        <v>1.9247990373044517</v>
      </c>
      <c r="L40" s="15" t="e">
        <f t="shared" si="41"/>
        <v>#DIV/0!</v>
      </c>
      <c r="M40" s="15">
        <f t="shared" si="41"/>
        <v>1.9380373406193079</v>
      </c>
      <c r="N40" s="15" t="e">
        <f t="shared" si="41"/>
        <v>#DIV/0!</v>
      </c>
      <c r="O40" s="15">
        <f t="shared" si="41"/>
        <v>3.4198123980424135</v>
      </c>
      <c r="P40" s="15" t="e">
        <f t="shared" si="41"/>
        <v>#DIV/0!</v>
      </c>
      <c r="Q40" s="15" t="e">
        <f t="shared" si="41"/>
        <v>#DIV/0!</v>
      </c>
      <c r="R40" s="15">
        <f t="shared" si="41"/>
        <v>5.057121044303799</v>
      </c>
      <c r="S40" s="15" t="e">
        <f t="shared" si="41"/>
        <v>#DIV/0!</v>
      </c>
      <c r="T40" s="15" t="e">
        <f t="shared" si="41"/>
        <v>#DIV/0!</v>
      </c>
      <c r="U40" s="15">
        <f t="shared" si="41"/>
        <v>4.064439278937382</v>
      </c>
      <c r="V40" s="15" t="e">
        <f t="shared" si="41"/>
        <v>#DIV/0!</v>
      </c>
      <c r="W40" s="15">
        <f t="shared" si="41"/>
        <v>2.9577969328397673</v>
      </c>
      <c r="X40" s="15">
        <f t="shared" si="41"/>
        <v>4.0534368686868705</v>
      </c>
      <c r="Y40" s="15">
        <f t="shared" si="41"/>
        <v>3.7538556390977447</v>
      </c>
      <c r="Z40" s="15">
        <f t="shared" si="41"/>
        <v>3.5527314449064455</v>
      </c>
      <c r="AA40" s="15">
        <f t="shared" si="41"/>
        <v>2.8324238386748295</v>
      </c>
      <c r="AB40" s="15">
        <f t="shared" si="41"/>
        <v>3.2996635279347153</v>
      </c>
      <c r="AC40" s="15">
        <f t="shared" si="41"/>
        <v>2.652786092481469</v>
      </c>
      <c r="AD40" s="15">
        <f t="shared" si="41"/>
        <v>2.357107840983966</v>
      </c>
      <c r="AE40" s="15">
        <f t="shared" si="41"/>
        <v>3.1563275957801227</v>
      </c>
      <c r="AF40" s="15">
        <f t="shared" si="41"/>
        <v>3.4131908501194954</v>
      </c>
      <c r="AG40" s="15">
        <f t="shared" si="41"/>
        <v>4.174690656565657</v>
      </c>
      <c r="AH40" s="15">
        <f t="shared" si="41"/>
        <v>4.147034552845528</v>
      </c>
      <c r="AI40" s="15">
        <f t="shared" si="41"/>
        <v>4.920240851630072</v>
      </c>
      <c r="AJ40" s="15">
        <f t="shared" si="41"/>
        <v>2.776612412177986</v>
      </c>
      <c r="AK40" s="13"/>
      <c r="AM40" s="6" t="s">
        <v>73</v>
      </c>
      <c r="AN40" s="6" t="s">
        <v>73</v>
      </c>
      <c r="AO40" s="6" t="s">
        <v>73</v>
      </c>
      <c r="AP40" s="6" t="s">
        <v>73</v>
      </c>
      <c r="AQ40" s="6" t="s">
        <v>73</v>
      </c>
      <c r="AR40" s="6" t="s">
        <v>73</v>
      </c>
      <c r="AS40" s="6" t="s">
        <v>73</v>
      </c>
      <c r="AT40" s="6" t="s">
        <v>73</v>
      </c>
      <c r="AU40" s="6" t="s">
        <v>73</v>
      </c>
      <c r="AV40" s="6" t="s">
        <v>73</v>
      </c>
      <c r="AW40" s="6" t="s">
        <v>73</v>
      </c>
      <c r="AX40" s="6" t="s">
        <v>73</v>
      </c>
      <c r="AY40" s="6" t="s">
        <v>73</v>
      </c>
      <c r="AZ40" s="6" t="s">
        <v>73</v>
      </c>
      <c r="BA40" s="6" t="s">
        <v>73</v>
      </c>
      <c r="BB40" s="6" t="s">
        <v>73</v>
      </c>
      <c r="BC40" s="6" t="s">
        <v>73</v>
      </c>
      <c r="BD40" s="6" t="s">
        <v>73</v>
      </c>
      <c r="BE40" s="6" t="s">
        <v>73</v>
      </c>
      <c r="BF40" s="6" t="s">
        <v>73</v>
      </c>
      <c r="BG40" s="6" t="s">
        <v>73</v>
      </c>
      <c r="BH40" s="6" t="s">
        <v>73</v>
      </c>
      <c r="BI40" s="6" t="s">
        <v>73</v>
      </c>
      <c r="BJ40" s="6" t="s">
        <v>73</v>
      </c>
      <c r="BK40" s="6" t="s">
        <v>73</v>
      </c>
      <c r="BL40" s="6" t="s">
        <v>73</v>
      </c>
      <c r="BM40" s="6" t="s">
        <v>73</v>
      </c>
      <c r="BN40" s="6" t="s">
        <v>73</v>
      </c>
      <c r="BO40" s="6" t="s">
        <v>73</v>
      </c>
      <c r="BP40" s="6" t="s">
        <v>73</v>
      </c>
      <c r="BQ40" s="6" t="s">
        <v>73</v>
      </c>
      <c r="BR40" s="6" t="s">
        <v>73</v>
      </c>
      <c r="BS40" s="6" t="s">
        <v>73</v>
      </c>
      <c r="BT40" s="6" t="s">
        <v>73</v>
      </c>
      <c r="BU40" s="13"/>
      <c r="BV40" s="30">
        <f t="shared" si="39"/>
        <v>0</v>
      </c>
      <c r="BW40" s="13"/>
    </row>
    <row r="41" spans="1:75" ht="15">
      <c r="A41" s="7" t="s">
        <v>38</v>
      </c>
      <c r="B41" s="13"/>
      <c r="C41" s="16">
        <f aca="true" t="shared" si="42" ref="C41:AJ41">C39-(C8*2.542/1000)</f>
        <v>-157.41589199999999</v>
      </c>
      <c r="D41" s="16">
        <f t="shared" si="42"/>
        <v>-107.50880599999999</v>
      </c>
      <c r="E41" s="16">
        <f t="shared" si="42"/>
        <v>-41.787938</v>
      </c>
      <c r="F41" s="16">
        <f t="shared" si="42"/>
        <v>0</v>
      </c>
      <c r="G41" s="16">
        <f t="shared" si="42"/>
        <v>-362.53495599999997</v>
      </c>
      <c r="H41" s="16">
        <f t="shared" si="42"/>
        <v>-335.68635199999994</v>
      </c>
      <c r="I41" s="16">
        <f t="shared" si="42"/>
        <v>-455.989044</v>
      </c>
      <c r="J41" s="16">
        <f t="shared" si="42"/>
        <v>-93.89385399999999</v>
      </c>
      <c r="K41" s="16">
        <f t="shared" si="42"/>
        <v>8223.544038</v>
      </c>
      <c r="L41" s="16">
        <f t="shared" si="42"/>
        <v>-215.208262</v>
      </c>
      <c r="M41" s="16">
        <f t="shared" si="42"/>
        <v>10851.024004</v>
      </c>
      <c r="N41" s="16">
        <f t="shared" si="42"/>
        <v>-119.174044</v>
      </c>
      <c r="O41" s="16">
        <f t="shared" si="42"/>
        <v>5995.634964</v>
      </c>
      <c r="P41" s="16">
        <f t="shared" si="42"/>
        <v>-201.18659</v>
      </c>
      <c r="Q41" s="16">
        <f t="shared" si="42"/>
        <v>0</v>
      </c>
      <c r="R41" s="16">
        <f t="shared" si="42"/>
        <v>12164.348586</v>
      </c>
      <c r="S41" s="16">
        <f t="shared" si="42"/>
        <v>-252.25791199999998</v>
      </c>
      <c r="T41" s="16">
        <f t="shared" si="42"/>
        <v>-105.55909199999999</v>
      </c>
      <c r="U41" s="16">
        <f t="shared" si="42"/>
        <v>10206.354874</v>
      </c>
      <c r="V41" s="16">
        <f t="shared" si="42"/>
        <v>-257.141094</v>
      </c>
      <c r="W41" s="16">
        <f t="shared" si="42"/>
        <v>18610.321078</v>
      </c>
      <c r="X41" s="16">
        <f t="shared" si="42"/>
        <v>3844.532192</v>
      </c>
      <c r="Y41" s="16">
        <f t="shared" si="42"/>
        <v>3868.131436</v>
      </c>
      <c r="Z41" s="16">
        <f t="shared" si="42"/>
        <v>18711.129274</v>
      </c>
      <c r="AA41" s="16">
        <f t="shared" si="42"/>
        <v>27170.64724</v>
      </c>
      <c r="AB41" s="16">
        <f t="shared" si="42"/>
        <v>31066.557914</v>
      </c>
      <c r="AC41" s="16">
        <f t="shared" si="42"/>
        <v>27719.01759</v>
      </c>
      <c r="AD41" s="16">
        <f t="shared" si="42"/>
        <v>44719.307902</v>
      </c>
      <c r="AE41" s="16">
        <f t="shared" si="42"/>
        <v>17582.084804</v>
      </c>
      <c r="AF41" s="16">
        <f t="shared" si="42"/>
        <v>28515.577158</v>
      </c>
      <c r="AG41" s="16">
        <f t="shared" si="42"/>
        <v>7632.914146</v>
      </c>
      <c r="AH41" s="16">
        <f t="shared" si="42"/>
        <v>4763.1560580000005</v>
      </c>
      <c r="AI41" s="16">
        <f t="shared" si="42"/>
        <v>14522.243126</v>
      </c>
      <c r="AJ41" s="16">
        <f t="shared" si="42"/>
        <v>8373.221922</v>
      </c>
      <c r="AK41" s="13"/>
      <c r="AM41" s="16">
        <f aca="true" t="shared" si="43" ref="AM41:BT41">IF(C41=0,"ND",C41/(0.06413*AM$4))</f>
        <v>-6.818437028951607</v>
      </c>
      <c r="AN41" s="16">
        <f t="shared" si="43"/>
        <v>-4.656721849714987</v>
      </c>
      <c r="AO41" s="16">
        <f t="shared" si="43"/>
        <v>-1.8100359512795186</v>
      </c>
      <c r="AP41" s="16" t="str">
        <f t="shared" si="43"/>
        <v>ND</v>
      </c>
      <c r="AQ41" s="16">
        <f t="shared" si="43"/>
        <v>-18.12869637199389</v>
      </c>
      <c r="AR41" s="16">
        <f t="shared" si="43"/>
        <v>-16.786121864701684</v>
      </c>
      <c r="AS41" s="16">
        <f t="shared" si="43"/>
        <v>-21.135443318649127</v>
      </c>
      <c r="AT41" s="16">
        <f t="shared" si="43"/>
        <v>-4.367240805722622</v>
      </c>
      <c r="AU41" s="16">
        <f t="shared" si="43"/>
        <v>382.0226698605811</v>
      </c>
      <c r="AV41" s="16">
        <f t="shared" si="43"/>
        <v>-10.00242205486573</v>
      </c>
      <c r="AW41" s="16">
        <f t="shared" si="43"/>
        <v>542.7539866582651</v>
      </c>
      <c r="AX41" s="16">
        <f t="shared" si="43"/>
        <v>-5.647015089210712</v>
      </c>
      <c r="AY41" s="16">
        <f t="shared" si="43"/>
        <v>294.53686254517953</v>
      </c>
      <c r="AZ41" s="16">
        <f t="shared" si="43"/>
        <v>-9.371674670813706</v>
      </c>
      <c r="BA41" s="16" t="str">
        <f t="shared" si="43"/>
        <v>ND</v>
      </c>
      <c r="BB41" s="16">
        <f t="shared" si="43"/>
        <v>497.20223791818665</v>
      </c>
      <c r="BC41" s="16">
        <f t="shared" si="43"/>
        <v>-11.79189361512898</v>
      </c>
      <c r="BD41" s="16">
        <f t="shared" si="43"/>
        <v>-5.284164814698473</v>
      </c>
      <c r="BE41" s="16">
        <f t="shared" si="43"/>
        <v>518.1203222909061</v>
      </c>
      <c r="BF41" s="16">
        <f t="shared" si="43"/>
        <v>-11.120097956774373</v>
      </c>
      <c r="BG41" s="16">
        <f t="shared" si="43"/>
        <v>862.3976362093249</v>
      </c>
      <c r="BH41" s="16">
        <f t="shared" si="43"/>
        <v>177.89033829188762</v>
      </c>
      <c r="BI41" s="16">
        <f t="shared" si="43"/>
        <v>167.7803469005391</v>
      </c>
      <c r="BJ41" s="16">
        <f t="shared" si="43"/>
        <v>929.436606950268</v>
      </c>
      <c r="BK41" s="16">
        <f t="shared" si="43"/>
        <v>1108.6185770155807</v>
      </c>
      <c r="BL41" s="16">
        <f t="shared" si="43"/>
        <v>1554.7562969526991</v>
      </c>
      <c r="BM41" s="16">
        <f t="shared" si="43"/>
        <v>1279.7385025767076</v>
      </c>
      <c r="BN41" s="16">
        <f t="shared" si="43"/>
        <v>2086.231111846134</v>
      </c>
      <c r="BO41" s="16">
        <f t="shared" si="43"/>
        <v>806.955647096067</v>
      </c>
      <c r="BP41" s="16">
        <f t="shared" si="43"/>
        <v>1255.7972557402006</v>
      </c>
      <c r="BQ41" s="16">
        <f t="shared" si="43"/>
        <v>378.14938535171126</v>
      </c>
      <c r="BR41" s="16">
        <f t="shared" si="43"/>
        <v>222.15608970220674</v>
      </c>
      <c r="BS41" s="16">
        <f t="shared" si="43"/>
        <v>674.8020505832478</v>
      </c>
      <c r="BT41" s="16">
        <f t="shared" si="43"/>
        <v>416.9185412802722</v>
      </c>
      <c r="BU41" s="13"/>
      <c r="BV41" s="31">
        <f t="shared" si="39"/>
        <v>4102.829904474827</v>
      </c>
      <c r="BW41" s="13"/>
    </row>
    <row r="42" spans="1:75" ht="15">
      <c r="A42" s="7" t="s">
        <v>39</v>
      </c>
      <c r="B42" s="13"/>
      <c r="C42" s="16" t="e">
        <f aca="true" t="shared" si="44" ref="C42:AJ42">C41*100/C39</f>
        <v>#DIV/0!</v>
      </c>
      <c r="D42" s="16" t="e">
        <f t="shared" si="44"/>
        <v>#DIV/0!</v>
      </c>
      <c r="E42" s="16" t="e">
        <f t="shared" si="44"/>
        <v>#DIV/0!</v>
      </c>
      <c r="F42" s="16" t="e">
        <f t="shared" si="44"/>
        <v>#DIV/0!</v>
      </c>
      <c r="G42" s="16" t="e">
        <f t="shared" si="44"/>
        <v>#DIV/0!</v>
      </c>
      <c r="H42" s="16" t="e">
        <f t="shared" si="44"/>
        <v>#DIV/0!</v>
      </c>
      <c r="I42" s="16" t="e">
        <f t="shared" si="44"/>
        <v>#DIV/0!</v>
      </c>
      <c r="J42" s="16" t="e">
        <f t="shared" si="44"/>
        <v>#DIV/0!</v>
      </c>
      <c r="K42" s="16">
        <f t="shared" si="44"/>
        <v>98.95961537906136</v>
      </c>
      <c r="L42" s="16" t="e">
        <f t="shared" si="44"/>
        <v>#DIV/0!</v>
      </c>
      <c r="M42" s="16">
        <f t="shared" si="44"/>
        <v>98.82535522768671</v>
      </c>
      <c r="N42" s="16" t="e">
        <f t="shared" si="44"/>
        <v>#DIV/0!</v>
      </c>
      <c r="O42" s="16">
        <f t="shared" si="44"/>
        <v>97.80807445350733</v>
      </c>
      <c r="P42" s="16" t="e">
        <f t="shared" si="44"/>
        <v>#DIV/0!</v>
      </c>
      <c r="Q42" s="16" t="e">
        <f t="shared" si="44"/>
        <v>#DIV/0!</v>
      </c>
      <c r="R42" s="16">
        <f t="shared" si="44"/>
        <v>96.23693501582278</v>
      </c>
      <c r="S42" s="16" t="e">
        <f t="shared" si="44"/>
        <v>#DIV/0!</v>
      </c>
      <c r="T42" s="16" t="e">
        <f t="shared" si="44"/>
        <v>#DIV/0!</v>
      </c>
      <c r="U42" s="16">
        <f t="shared" si="44"/>
        <v>96.83448647058825</v>
      </c>
      <c r="V42" s="16" t="e">
        <f t="shared" si="44"/>
        <v>#DIV/0!</v>
      </c>
      <c r="W42" s="16">
        <f t="shared" si="44"/>
        <v>98.41523573770492</v>
      </c>
      <c r="X42" s="16">
        <f t="shared" si="44"/>
        <v>97.08414626262626</v>
      </c>
      <c r="Y42" s="16">
        <f t="shared" si="44"/>
        <v>96.94565002506266</v>
      </c>
      <c r="Z42" s="16">
        <f t="shared" si="44"/>
        <v>97.25119165280665</v>
      </c>
      <c r="AA42" s="16">
        <f t="shared" si="44"/>
        <v>97.84172574720921</v>
      </c>
      <c r="AB42" s="16">
        <f t="shared" si="44"/>
        <v>97.50959797237915</v>
      </c>
      <c r="AC42" s="16">
        <f t="shared" si="44"/>
        <v>97.84333776914931</v>
      </c>
      <c r="AD42" s="16">
        <f t="shared" si="44"/>
        <v>98.21943312541181</v>
      </c>
      <c r="AE42" s="16">
        <f t="shared" si="44"/>
        <v>97.62401334813991</v>
      </c>
      <c r="AF42" s="16">
        <f t="shared" si="44"/>
        <v>97.35601624445202</v>
      </c>
      <c r="AG42" s="16">
        <f t="shared" si="44"/>
        <v>96.37517861111111</v>
      </c>
      <c r="AH42" s="16">
        <f t="shared" si="44"/>
        <v>96.812115</v>
      </c>
      <c r="AI42" s="16">
        <f t="shared" si="44"/>
        <v>96.62171075182967</v>
      </c>
      <c r="AJ42" s="16">
        <f t="shared" si="44"/>
        <v>98.04709510538642</v>
      </c>
      <c r="AK42" s="13"/>
      <c r="AM42" s="7" t="s">
        <v>73</v>
      </c>
      <c r="AN42" s="7" t="s">
        <v>73</v>
      </c>
      <c r="AO42" s="7" t="s">
        <v>73</v>
      </c>
      <c r="AP42" s="7" t="s">
        <v>73</v>
      </c>
      <c r="AQ42" s="7" t="s">
        <v>73</v>
      </c>
      <c r="AR42" s="7" t="s">
        <v>73</v>
      </c>
      <c r="AS42" s="7" t="s">
        <v>73</v>
      </c>
      <c r="AT42" s="7" t="s">
        <v>73</v>
      </c>
      <c r="AU42" s="7" t="s">
        <v>73</v>
      </c>
      <c r="AV42" s="7" t="s">
        <v>73</v>
      </c>
      <c r="AW42" s="7" t="s">
        <v>73</v>
      </c>
      <c r="AX42" s="7" t="s">
        <v>73</v>
      </c>
      <c r="AY42" s="7" t="s">
        <v>73</v>
      </c>
      <c r="AZ42" s="7" t="s">
        <v>73</v>
      </c>
      <c r="BA42" s="7" t="s">
        <v>73</v>
      </c>
      <c r="BB42" s="7" t="s">
        <v>73</v>
      </c>
      <c r="BC42" s="7" t="s">
        <v>73</v>
      </c>
      <c r="BD42" s="7" t="s">
        <v>73</v>
      </c>
      <c r="BE42" s="7" t="s">
        <v>73</v>
      </c>
      <c r="BF42" s="7" t="s">
        <v>73</v>
      </c>
      <c r="BG42" s="7" t="s">
        <v>73</v>
      </c>
      <c r="BH42" s="7" t="s">
        <v>73</v>
      </c>
      <c r="BI42" s="7" t="s">
        <v>73</v>
      </c>
      <c r="BJ42" s="7" t="s">
        <v>73</v>
      </c>
      <c r="BK42" s="7" t="s">
        <v>73</v>
      </c>
      <c r="BL42" s="7" t="s">
        <v>73</v>
      </c>
      <c r="BM42" s="7" t="s">
        <v>73</v>
      </c>
      <c r="BN42" s="7" t="s">
        <v>73</v>
      </c>
      <c r="BO42" s="7" t="s">
        <v>73</v>
      </c>
      <c r="BP42" s="7" t="s">
        <v>73</v>
      </c>
      <c r="BQ42" s="7" t="s">
        <v>73</v>
      </c>
      <c r="BR42" s="7" t="s">
        <v>73</v>
      </c>
      <c r="BS42" s="7" t="s">
        <v>73</v>
      </c>
      <c r="BT42" s="7" t="s">
        <v>73</v>
      </c>
      <c r="BU42" s="13"/>
      <c r="BV42" s="13"/>
      <c r="BW42" s="13"/>
    </row>
    <row r="43" spans="1:74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V43" s="8"/>
    </row>
    <row r="44" spans="3:38" ht="15.75" thickBot="1">
      <c r="C44" s="1" t="s">
        <v>46</v>
      </c>
      <c r="M44" s="7" t="s">
        <v>65</v>
      </c>
      <c r="N44" s="2">
        <v>646</v>
      </c>
      <c r="AL44" s="1" t="s">
        <v>108</v>
      </c>
    </row>
    <row r="45" spans="1:75" ht="15.75" thickTop="1">
      <c r="A45" s="3" t="s">
        <v>0</v>
      </c>
      <c r="B45" s="9"/>
      <c r="C45" s="14">
        <v>602</v>
      </c>
      <c r="D45" s="15">
        <v>603</v>
      </c>
      <c r="E45" s="15">
        <v>608</v>
      </c>
      <c r="F45" s="15">
        <v>610</v>
      </c>
      <c r="G45" s="15">
        <v>612</v>
      </c>
      <c r="H45" s="15">
        <v>616</v>
      </c>
      <c r="I45" s="15">
        <v>620</v>
      </c>
      <c r="J45" s="15">
        <v>625</v>
      </c>
      <c r="K45" s="15">
        <v>629</v>
      </c>
      <c r="L45" s="15">
        <v>634</v>
      </c>
      <c r="M45" s="15">
        <v>637</v>
      </c>
      <c r="N45" s="15">
        <v>641</v>
      </c>
      <c r="O45" s="15">
        <v>645</v>
      </c>
      <c r="P45" s="15">
        <v>649</v>
      </c>
      <c r="Q45" s="15">
        <v>653</v>
      </c>
      <c r="R45" s="15">
        <v>657</v>
      </c>
      <c r="S45" s="15">
        <v>661</v>
      </c>
      <c r="T45" s="15">
        <v>665</v>
      </c>
      <c r="U45" s="15">
        <v>669</v>
      </c>
      <c r="V45" s="15">
        <v>673</v>
      </c>
      <c r="W45" s="15">
        <v>677</v>
      </c>
      <c r="X45" s="15">
        <v>681</v>
      </c>
      <c r="Y45" s="15">
        <v>685</v>
      </c>
      <c r="Z45" s="15">
        <v>689</v>
      </c>
      <c r="AA45" s="15">
        <v>693</v>
      </c>
      <c r="AB45" s="15">
        <v>697</v>
      </c>
      <c r="AC45" s="15">
        <v>705</v>
      </c>
      <c r="AD45" s="15">
        <v>709</v>
      </c>
      <c r="AE45" s="6" t="s">
        <v>73</v>
      </c>
      <c r="AF45" s="6" t="s">
        <v>73</v>
      </c>
      <c r="AG45" s="12"/>
      <c r="AH45" s="12"/>
      <c r="AI45" s="12"/>
      <c r="AJ45" s="12"/>
      <c r="AK45" s="13"/>
      <c r="AL45" s="3" t="s">
        <v>73</v>
      </c>
      <c r="AM45" s="14">
        <f aca="true" t="shared" si="45" ref="AM45:AV48">C45</f>
        <v>602</v>
      </c>
      <c r="AN45" s="15">
        <f t="shared" si="45"/>
        <v>603</v>
      </c>
      <c r="AO45" s="15">
        <f t="shared" si="45"/>
        <v>608</v>
      </c>
      <c r="AP45" s="15">
        <f t="shared" si="45"/>
        <v>610</v>
      </c>
      <c r="AQ45" s="15">
        <f t="shared" si="45"/>
        <v>612</v>
      </c>
      <c r="AR45" s="15">
        <f t="shared" si="45"/>
        <v>616</v>
      </c>
      <c r="AS45" s="15">
        <f t="shared" si="45"/>
        <v>620</v>
      </c>
      <c r="AT45" s="15">
        <f t="shared" si="45"/>
        <v>625</v>
      </c>
      <c r="AU45" s="15">
        <f t="shared" si="45"/>
        <v>629</v>
      </c>
      <c r="AV45" s="15">
        <f t="shared" si="45"/>
        <v>634</v>
      </c>
      <c r="AW45" s="15">
        <f aca="true" t="shared" si="46" ref="AW45:BF48">M45</f>
        <v>637</v>
      </c>
      <c r="AX45" s="15">
        <f t="shared" si="46"/>
        <v>641</v>
      </c>
      <c r="AY45" s="15">
        <f t="shared" si="46"/>
        <v>645</v>
      </c>
      <c r="AZ45" s="15">
        <f t="shared" si="46"/>
        <v>649</v>
      </c>
      <c r="BA45" s="15">
        <f t="shared" si="46"/>
        <v>653</v>
      </c>
      <c r="BB45" s="15">
        <f t="shared" si="46"/>
        <v>657</v>
      </c>
      <c r="BC45" s="15">
        <f t="shared" si="46"/>
        <v>661</v>
      </c>
      <c r="BD45" s="15">
        <f t="shared" si="46"/>
        <v>665</v>
      </c>
      <c r="BE45" s="15">
        <f t="shared" si="46"/>
        <v>669</v>
      </c>
      <c r="BF45" s="15">
        <f t="shared" si="46"/>
        <v>673</v>
      </c>
      <c r="BG45" s="15">
        <f aca="true" t="shared" si="47" ref="BG45:BN48">W45</f>
        <v>677</v>
      </c>
      <c r="BH45" s="15">
        <f t="shared" si="47"/>
        <v>681</v>
      </c>
      <c r="BI45" s="15">
        <f t="shared" si="47"/>
        <v>685</v>
      </c>
      <c r="BJ45" s="15">
        <f t="shared" si="47"/>
        <v>689</v>
      </c>
      <c r="BK45" s="15">
        <f t="shared" si="47"/>
        <v>693</v>
      </c>
      <c r="BL45" s="15">
        <f t="shared" si="47"/>
        <v>697</v>
      </c>
      <c r="BM45" s="15">
        <f t="shared" si="47"/>
        <v>705</v>
      </c>
      <c r="BN45" s="15">
        <f t="shared" si="47"/>
        <v>709</v>
      </c>
      <c r="BO45" s="13"/>
      <c r="BV45" s="6" t="s">
        <v>109</v>
      </c>
      <c r="BW45" s="13"/>
    </row>
    <row r="46" spans="1:75" ht="15">
      <c r="A46" s="4" t="s">
        <v>1</v>
      </c>
      <c r="B46" s="10" t="str">
        <f>B3</f>
        <v>Detection</v>
      </c>
      <c r="C46" s="4" t="s">
        <v>47</v>
      </c>
      <c r="D46" s="7" t="s">
        <v>47</v>
      </c>
      <c r="E46" s="7" t="s">
        <v>51</v>
      </c>
      <c r="F46" s="7" t="s">
        <v>52</v>
      </c>
      <c r="G46" s="7" t="s">
        <v>54</v>
      </c>
      <c r="H46" s="7" t="s">
        <v>55</v>
      </c>
      <c r="I46" s="7" t="s">
        <v>57</v>
      </c>
      <c r="J46" s="7" t="s">
        <v>59</v>
      </c>
      <c r="K46" s="7" t="s">
        <v>61</v>
      </c>
      <c r="L46" s="7" t="s">
        <v>63</v>
      </c>
      <c r="M46" s="7" t="s">
        <v>66</v>
      </c>
      <c r="N46" s="7" t="s">
        <v>67</v>
      </c>
      <c r="O46" s="7" t="s">
        <v>68</v>
      </c>
      <c r="P46" s="7" t="s">
        <v>70</v>
      </c>
      <c r="Q46" s="7" t="s">
        <v>74</v>
      </c>
      <c r="R46" s="7" t="s">
        <v>76</v>
      </c>
      <c r="S46" s="7" t="s">
        <v>78</v>
      </c>
      <c r="T46" s="7" t="s">
        <v>81</v>
      </c>
      <c r="U46" s="7" t="s">
        <v>83</v>
      </c>
      <c r="V46" s="7" t="s">
        <v>85</v>
      </c>
      <c r="W46" s="7" t="s">
        <v>87</v>
      </c>
      <c r="X46" s="7" t="s">
        <v>89</v>
      </c>
      <c r="Y46" s="7" t="s">
        <v>91</v>
      </c>
      <c r="Z46" s="7" t="s">
        <v>93</v>
      </c>
      <c r="AA46" s="7" t="s">
        <v>95</v>
      </c>
      <c r="AB46" s="7" t="s">
        <v>97</v>
      </c>
      <c r="AC46" s="7" t="s">
        <v>99</v>
      </c>
      <c r="AD46" s="7" t="s">
        <v>100</v>
      </c>
      <c r="AE46" s="13"/>
      <c r="AF46" s="13"/>
      <c r="AG46" s="13"/>
      <c r="AH46" s="13"/>
      <c r="AI46" s="13"/>
      <c r="AJ46" s="13"/>
      <c r="AK46" s="13"/>
      <c r="AL46" s="4" t="s">
        <v>73</v>
      </c>
      <c r="AM46" s="10" t="str">
        <f t="shared" si="45"/>
        <v>7/17/92</v>
      </c>
      <c r="AN46" s="16" t="str">
        <f t="shared" si="45"/>
        <v>7/17/92</v>
      </c>
      <c r="AO46" s="16" t="str">
        <f t="shared" si="45"/>
        <v>8/12/92</v>
      </c>
      <c r="AP46" s="16" t="str">
        <f t="shared" si="45"/>
        <v>9/1/92</v>
      </c>
      <c r="AQ46" s="16" t="str">
        <f t="shared" si="45"/>
        <v>9/15/92</v>
      </c>
      <c r="AR46" s="16" t="str">
        <f t="shared" si="45"/>
        <v>9/29/92</v>
      </c>
      <c r="AS46" s="16" t="str">
        <f t="shared" si="45"/>
        <v>10/13/92</v>
      </c>
      <c r="AT46" s="16" t="str">
        <f t="shared" si="45"/>
        <v>10/27/92</v>
      </c>
      <c r="AU46" s="16" t="str">
        <f t="shared" si="45"/>
        <v>11/10/92</v>
      </c>
      <c r="AV46" s="16" t="str">
        <f t="shared" si="45"/>
        <v>11/24/92</v>
      </c>
      <c r="AW46" s="16" t="str">
        <f t="shared" si="46"/>
        <v>12/8/92</v>
      </c>
      <c r="AX46" s="16" t="str">
        <f t="shared" si="46"/>
        <v>12/24/92</v>
      </c>
      <c r="AY46" s="16" t="str">
        <f t="shared" si="46"/>
        <v>1/7/93</v>
      </c>
      <c r="AZ46" s="16" t="str">
        <f t="shared" si="46"/>
        <v>1/21/93</v>
      </c>
      <c r="BA46" s="16" t="str">
        <f t="shared" si="46"/>
        <v>2/4/93</v>
      </c>
      <c r="BB46" s="16" t="str">
        <f t="shared" si="46"/>
        <v>2/20/93</v>
      </c>
      <c r="BC46" s="16" t="str">
        <f t="shared" si="46"/>
        <v>3/3/93</v>
      </c>
      <c r="BD46" s="16" t="str">
        <f t="shared" si="46"/>
        <v>3/20/93</v>
      </c>
      <c r="BE46" s="16" t="str">
        <f t="shared" si="46"/>
        <v>4/8/93</v>
      </c>
      <c r="BF46" s="16" t="str">
        <f t="shared" si="46"/>
        <v>4/29/93</v>
      </c>
      <c r="BG46" s="16" t="str">
        <f t="shared" si="47"/>
        <v>5/25/93</v>
      </c>
      <c r="BH46" s="16" t="str">
        <f t="shared" si="47"/>
        <v>6/9/93</v>
      </c>
      <c r="BI46" s="16" t="str">
        <f t="shared" si="47"/>
        <v>7/1/93</v>
      </c>
      <c r="BJ46" s="16" t="str">
        <f t="shared" si="47"/>
        <v> 7/15/93</v>
      </c>
      <c r="BK46" s="16" t="str">
        <f t="shared" si="47"/>
        <v> 7/28/93</v>
      </c>
      <c r="BL46" s="16" t="str">
        <f t="shared" si="47"/>
        <v> 8/8/93</v>
      </c>
      <c r="BM46" s="16" t="str">
        <f t="shared" si="47"/>
        <v> 8/21/93</v>
      </c>
      <c r="BN46" s="16" t="str">
        <f t="shared" si="47"/>
        <v> 9/1/93</v>
      </c>
      <c r="BO46" s="13"/>
      <c r="BV46" s="7" t="s">
        <v>110</v>
      </c>
      <c r="BW46" s="13"/>
    </row>
    <row r="47" spans="1:75" ht="15">
      <c r="A47" s="4" t="s">
        <v>2</v>
      </c>
      <c r="B47" s="10" t="str">
        <f>B4</f>
        <v>Limit</v>
      </c>
      <c r="C47" s="10">
        <v>622.25</v>
      </c>
      <c r="D47" s="16">
        <v>622.25</v>
      </c>
      <c r="E47" s="16">
        <v>480</v>
      </c>
      <c r="F47" s="16">
        <v>336</v>
      </c>
      <c r="G47" s="16">
        <v>336</v>
      </c>
      <c r="H47" s="16">
        <v>334.5</v>
      </c>
      <c r="I47" s="16">
        <v>336</v>
      </c>
      <c r="J47" s="16">
        <v>336</v>
      </c>
      <c r="K47" s="16">
        <v>336</v>
      </c>
      <c r="L47" s="16">
        <v>331</v>
      </c>
      <c r="M47" s="16">
        <v>384</v>
      </c>
      <c r="N47" s="16">
        <v>336</v>
      </c>
      <c r="O47" s="16">
        <v>336</v>
      </c>
      <c r="P47" s="16">
        <v>336</v>
      </c>
      <c r="Q47" s="16">
        <v>384</v>
      </c>
      <c r="R47" s="16">
        <v>264</v>
      </c>
      <c r="S47" s="16">
        <v>408</v>
      </c>
      <c r="T47" s="16">
        <v>456</v>
      </c>
      <c r="U47" s="16">
        <v>505</v>
      </c>
      <c r="V47" s="16">
        <v>622.75</v>
      </c>
      <c r="W47" s="16">
        <v>359</v>
      </c>
      <c r="X47" s="16">
        <v>528.5</v>
      </c>
      <c r="Y47" s="16">
        <v>336</v>
      </c>
      <c r="Z47" s="16">
        <v>312</v>
      </c>
      <c r="AA47" s="16">
        <v>265</v>
      </c>
      <c r="AB47" s="16">
        <v>310.75</v>
      </c>
      <c r="AC47" s="16">
        <v>264</v>
      </c>
      <c r="AD47" s="16">
        <v>384</v>
      </c>
      <c r="AE47" s="13"/>
      <c r="AF47" s="13"/>
      <c r="AG47" s="13"/>
      <c r="AH47" s="13"/>
      <c r="AI47" s="13"/>
      <c r="AJ47" s="13"/>
      <c r="AK47" s="13"/>
      <c r="AL47" s="4" t="s">
        <v>73</v>
      </c>
      <c r="AM47" s="10">
        <f t="shared" si="45"/>
        <v>622.25</v>
      </c>
      <c r="AN47" s="16">
        <f t="shared" si="45"/>
        <v>622.25</v>
      </c>
      <c r="AO47" s="16">
        <f t="shared" si="45"/>
        <v>480</v>
      </c>
      <c r="AP47" s="16">
        <f t="shared" si="45"/>
        <v>336</v>
      </c>
      <c r="AQ47" s="16">
        <f t="shared" si="45"/>
        <v>336</v>
      </c>
      <c r="AR47" s="16">
        <f t="shared" si="45"/>
        <v>334.5</v>
      </c>
      <c r="AS47" s="16">
        <f t="shared" si="45"/>
        <v>336</v>
      </c>
      <c r="AT47" s="16">
        <f t="shared" si="45"/>
        <v>336</v>
      </c>
      <c r="AU47" s="16">
        <f t="shared" si="45"/>
        <v>336</v>
      </c>
      <c r="AV47" s="16">
        <f t="shared" si="45"/>
        <v>331</v>
      </c>
      <c r="AW47" s="16">
        <f t="shared" si="46"/>
        <v>384</v>
      </c>
      <c r="AX47" s="16">
        <f t="shared" si="46"/>
        <v>336</v>
      </c>
      <c r="AY47" s="16">
        <f t="shared" si="46"/>
        <v>336</v>
      </c>
      <c r="AZ47" s="16">
        <f t="shared" si="46"/>
        <v>336</v>
      </c>
      <c r="BA47" s="16">
        <f t="shared" si="46"/>
        <v>384</v>
      </c>
      <c r="BB47" s="16">
        <f t="shared" si="46"/>
        <v>264</v>
      </c>
      <c r="BC47" s="16">
        <f t="shared" si="46"/>
        <v>408</v>
      </c>
      <c r="BD47" s="16">
        <f t="shared" si="46"/>
        <v>456</v>
      </c>
      <c r="BE47" s="16">
        <f t="shared" si="46"/>
        <v>505</v>
      </c>
      <c r="BF47" s="16">
        <f t="shared" si="46"/>
        <v>622.75</v>
      </c>
      <c r="BG47" s="16">
        <f t="shared" si="47"/>
        <v>359</v>
      </c>
      <c r="BH47" s="16">
        <f t="shared" si="47"/>
        <v>528.5</v>
      </c>
      <c r="BI47" s="16">
        <f t="shared" si="47"/>
        <v>336</v>
      </c>
      <c r="BJ47" s="16">
        <f t="shared" si="47"/>
        <v>312</v>
      </c>
      <c r="BK47" s="16">
        <f t="shared" si="47"/>
        <v>265</v>
      </c>
      <c r="BL47" s="16">
        <f t="shared" si="47"/>
        <v>310.75</v>
      </c>
      <c r="BM47" s="16">
        <f t="shared" si="47"/>
        <v>264</v>
      </c>
      <c r="BN47" s="16">
        <f t="shared" si="47"/>
        <v>384</v>
      </c>
      <c r="BO47" s="13"/>
      <c r="BV47" s="31">
        <f>(SUM(AM47:BN47)-AN47-AW47)</f>
        <v>9854.75</v>
      </c>
      <c r="BW47" s="13"/>
    </row>
    <row r="48" spans="1:75" ht="15">
      <c r="A48" s="4" t="s">
        <v>3</v>
      </c>
      <c r="B48" s="10" t="str">
        <f>B5</f>
        <v>(ng)</v>
      </c>
      <c r="C48" s="10">
        <v>4.2</v>
      </c>
      <c r="D48" s="16">
        <v>4.2</v>
      </c>
      <c r="E48" s="16">
        <v>3.65</v>
      </c>
      <c r="F48" s="16">
        <v>1.36</v>
      </c>
      <c r="G48" s="16">
        <v>2.19</v>
      </c>
      <c r="H48" s="16">
        <v>1.47</v>
      </c>
      <c r="I48" s="16">
        <v>0.84</v>
      </c>
      <c r="J48" s="16">
        <v>1.04</v>
      </c>
      <c r="K48" s="16">
        <v>2.89</v>
      </c>
      <c r="L48" s="16">
        <v>1.55</v>
      </c>
      <c r="M48" s="16">
        <v>2.45</v>
      </c>
      <c r="N48" s="16">
        <v>2.1</v>
      </c>
      <c r="O48" s="16">
        <v>1.24</v>
      </c>
      <c r="P48" s="16">
        <v>0.96</v>
      </c>
      <c r="Q48" s="16">
        <v>2.68</v>
      </c>
      <c r="R48" s="16">
        <v>0.64</v>
      </c>
      <c r="S48" s="16">
        <v>3.68</v>
      </c>
      <c r="T48" s="16">
        <v>4.7</v>
      </c>
      <c r="U48" s="16">
        <v>3.8</v>
      </c>
      <c r="V48" s="16">
        <v>2.03</v>
      </c>
      <c r="W48" s="16">
        <v>1.22</v>
      </c>
      <c r="X48" s="16">
        <v>0.47</v>
      </c>
      <c r="Y48" s="16">
        <v>1.07</v>
      </c>
      <c r="Z48" s="16">
        <v>1.08</v>
      </c>
      <c r="AA48" s="16">
        <v>0.31</v>
      </c>
      <c r="AB48" s="16">
        <v>0.17</v>
      </c>
      <c r="AC48" s="16">
        <v>0.04</v>
      </c>
      <c r="AD48" s="16">
        <v>2.22</v>
      </c>
      <c r="AE48" s="13"/>
      <c r="AF48" s="13"/>
      <c r="AG48" s="13"/>
      <c r="AH48" s="13"/>
      <c r="AI48" s="13"/>
      <c r="AJ48" s="13"/>
      <c r="AK48" s="13"/>
      <c r="AL48" s="4" t="s">
        <v>107</v>
      </c>
      <c r="AM48" s="10">
        <f t="shared" si="45"/>
        <v>4.2</v>
      </c>
      <c r="AN48" s="16">
        <f t="shared" si="45"/>
        <v>4.2</v>
      </c>
      <c r="AO48" s="16">
        <f t="shared" si="45"/>
        <v>3.65</v>
      </c>
      <c r="AP48" s="16">
        <f t="shared" si="45"/>
        <v>1.36</v>
      </c>
      <c r="AQ48" s="16">
        <f t="shared" si="45"/>
        <v>2.19</v>
      </c>
      <c r="AR48" s="16">
        <f t="shared" si="45"/>
        <v>1.47</v>
      </c>
      <c r="AS48" s="16">
        <f t="shared" si="45"/>
        <v>0.84</v>
      </c>
      <c r="AT48" s="16">
        <f t="shared" si="45"/>
        <v>1.04</v>
      </c>
      <c r="AU48" s="16">
        <f t="shared" si="45"/>
        <v>2.89</v>
      </c>
      <c r="AV48" s="16">
        <f t="shared" si="45"/>
        <v>1.55</v>
      </c>
      <c r="AW48" s="16">
        <f t="shared" si="46"/>
        <v>2.45</v>
      </c>
      <c r="AX48" s="16">
        <f t="shared" si="46"/>
        <v>2.1</v>
      </c>
      <c r="AY48" s="16">
        <f t="shared" si="46"/>
        <v>1.24</v>
      </c>
      <c r="AZ48" s="16">
        <f t="shared" si="46"/>
        <v>0.96</v>
      </c>
      <c r="BA48" s="16">
        <f t="shared" si="46"/>
        <v>2.68</v>
      </c>
      <c r="BB48" s="16">
        <f t="shared" si="46"/>
        <v>0.64</v>
      </c>
      <c r="BC48" s="16">
        <f t="shared" si="46"/>
        <v>3.68</v>
      </c>
      <c r="BD48" s="16">
        <f t="shared" si="46"/>
        <v>4.7</v>
      </c>
      <c r="BE48" s="16">
        <f t="shared" si="46"/>
        <v>3.8</v>
      </c>
      <c r="BF48" s="16">
        <f t="shared" si="46"/>
        <v>2.03</v>
      </c>
      <c r="BG48" s="16">
        <f t="shared" si="47"/>
        <v>1.22</v>
      </c>
      <c r="BH48" s="16">
        <f t="shared" si="47"/>
        <v>0.47</v>
      </c>
      <c r="BI48" s="16">
        <f t="shared" si="47"/>
        <v>1.07</v>
      </c>
      <c r="BJ48" s="16">
        <f t="shared" si="47"/>
        <v>1.08</v>
      </c>
      <c r="BK48" s="16">
        <f t="shared" si="47"/>
        <v>0.31</v>
      </c>
      <c r="BL48" s="16">
        <f t="shared" si="47"/>
        <v>0.17</v>
      </c>
      <c r="BM48" s="16">
        <f t="shared" si="47"/>
        <v>0.04</v>
      </c>
      <c r="BN48" s="16">
        <f t="shared" si="47"/>
        <v>2.22</v>
      </c>
      <c r="BO48" s="13"/>
      <c r="BV48" s="7" t="s">
        <v>112</v>
      </c>
      <c r="BW48" s="13"/>
    </row>
    <row r="49" spans="1:74" ht="15">
      <c r="A49" s="5"/>
      <c r="B49" s="5"/>
      <c r="C49" s="17" t="s">
        <v>48</v>
      </c>
      <c r="D49" s="12"/>
      <c r="E49" s="12"/>
      <c r="F49" s="6" t="s">
        <v>48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6" t="s">
        <v>73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3"/>
      <c r="AL49" s="5"/>
      <c r="AM49" s="21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13"/>
      <c r="BV49" s="29" t="s">
        <v>114</v>
      </c>
    </row>
    <row r="50" spans="1:75" ht="15">
      <c r="A50" s="4" t="s">
        <v>4</v>
      </c>
      <c r="B50" s="10">
        <f aca="true" t="shared" si="48" ref="B50:B81">B7</f>
        <v>500</v>
      </c>
      <c r="C50" s="10">
        <f>171874+61485+22530</f>
        <v>255889</v>
      </c>
      <c r="D50" s="16">
        <f>171874+61485+22530</f>
        <v>255889</v>
      </c>
      <c r="E50" s="16">
        <v>35092</v>
      </c>
      <c r="F50" s="13"/>
      <c r="G50" s="16">
        <v>145399</v>
      </c>
      <c r="H50" s="16">
        <f>38710+56921</f>
        <v>95631</v>
      </c>
      <c r="I50" s="16">
        <f>25593+10654</f>
        <v>36247</v>
      </c>
      <c r="J50" s="16">
        <f>29674+5934</f>
        <v>35608</v>
      </c>
      <c r="K50" s="16">
        <f>7074+44178</f>
        <v>51252</v>
      </c>
      <c r="L50" s="16">
        <v>594879</v>
      </c>
      <c r="M50" s="16">
        <f>19000+862410</f>
        <v>881410</v>
      </c>
      <c r="N50" s="16">
        <f>19422+17133+134297</f>
        <v>170852</v>
      </c>
      <c r="O50" s="16">
        <f>89248+180820</f>
        <v>270068</v>
      </c>
      <c r="P50" s="16">
        <f>42730+9902+269366</f>
        <v>321998</v>
      </c>
      <c r="Q50" s="16">
        <v>276106</v>
      </c>
      <c r="R50" s="16">
        <f>215333+33563</f>
        <v>248896</v>
      </c>
      <c r="S50" s="16">
        <f>49355+1451364+7531</f>
        <v>1508250</v>
      </c>
      <c r="T50" s="16">
        <f>22979+5771</f>
        <v>28750</v>
      </c>
      <c r="U50" s="16">
        <f>29070+89713</f>
        <v>118783</v>
      </c>
      <c r="V50" s="16">
        <v>177873</v>
      </c>
      <c r="W50" s="16">
        <f>117085+87302</f>
        <v>204387</v>
      </c>
      <c r="X50" s="16">
        <v>251856</v>
      </c>
      <c r="Y50" s="16">
        <v>70111</v>
      </c>
      <c r="Z50" s="16">
        <f>107720+51858</f>
        <v>159578</v>
      </c>
      <c r="AA50" s="16">
        <v>49350</v>
      </c>
      <c r="AB50" s="16">
        <f>21471+10223+6022</f>
        <v>37716</v>
      </c>
      <c r="AC50" s="16">
        <v>56007</v>
      </c>
      <c r="AD50" s="16">
        <f>10211+54134</f>
        <v>64345</v>
      </c>
      <c r="AE50" s="13"/>
      <c r="AF50" s="13"/>
      <c r="AG50" s="13"/>
      <c r="AH50" s="13"/>
      <c r="AI50" s="13"/>
      <c r="AJ50" s="13"/>
      <c r="AK50" s="13"/>
      <c r="AL50" s="10">
        <v>0</v>
      </c>
      <c r="AM50" s="19">
        <f aca="true" t="shared" si="49" ref="AM50:AM81">IF(C50-$AL50&lt;0.0001,"ND",(C50-$AL50)/(0.06413*AM$47))</f>
        <v>6412.471854171766</v>
      </c>
      <c r="AN50" s="26">
        <f aca="true" t="shared" si="50" ref="AN50:AN81">IF(D50-$AL50&lt;0.0001,"ND",(D50-$AL50)/(0.06413*AN$47))</f>
        <v>6412.471854171766</v>
      </c>
      <c r="AO50" s="26">
        <f aca="true" t="shared" si="51" ref="AO50:AO81">IF(E50-$AL50&lt;0.0001,"ND",(E50-$AL50)/(0.06413*AO$47))</f>
        <v>1140.0020791101408</v>
      </c>
      <c r="AP50" s="26" t="str">
        <f aca="true" t="shared" si="52" ref="AP50:AP81">IF(F50-$AL50&lt;0.0001,"ND",(F50-$AL50)/(0.06413*AP$47))</f>
        <v>ND</v>
      </c>
      <c r="AQ50" s="26">
        <f aca="true" t="shared" si="53" ref="AQ50:AQ81">IF(G50-$AL50&lt;0.0001,"ND",(G50-$AL50)/(0.06413*AQ$47))</f>
        <v>6747.7798073852955</v>
      </c>
      <c r="AR50" s="26">
        <f aca="true" t="shared" si="54" ref="AR50:AR81">IF(H50-$AL50&lt;0.0001,"ND",(H50-$AL50)/(0.06413*AR$47))</f>
        <v>4458.013046649217</v>
      </c>
      <c r="AS50" s="26">
        <f aca="true" t="shared" si="55" ref="AS50:AS81">IF(I50-$AL50&lt;0.0001,"ND",(I50-$AL50)/(0.06413*AS$47))</f>
        <v>1682.176457047812</v>
      </c>
      <c r="AT50" s="26">
        <f aca="true" t="shared" si="56" ref="AT50:AT81">IF(J50-$AL50&lt;0.0001,"ND",(J50-$AL50)/(0.06413*AT$47))</f>
        <v>1652.5212923154602</v>
      </c>
      <c r="AU50" s="26">
        <f aca="true" t="shared" si="57" ref="AU50:AU81">IF(K50-$AL50&lt;0.0001,"ND",(K50-$AL50)/(0.06413*AU$47))</f>
        <v>2378.539128110311</v>
      </c>
      <c r="AV50" s="26">
        <f aca="true" t="shared" si="58" ref="AV50:AV81">IF(L50-$AL50&lt;0.0001,"ND",(L50-$AL50)/(0.06413*AV$47))</f>
        <v>28024.59882517714</v>
      </c>
      <c r="AW50" s="26">
        <f aca="true" t="shared" si="59" ref="AW50:AW81">IF(M50-$AL50&lt;0.0001,"ND",(M50-$AL50)/(0.06413*AW$47))</f>
        <v>35791.96229013982</v>
      </c>
      <c r="AX50" s="26">
        <f aca="true" t="shared" si="60" ref="AX50:AX81">IF(N50-$AL50&lt;0.0001,"ND",(N50-$AL50)/(0.06413*AX$47))</f>
        <v>7929.02066486972</v>
      </c>
      <c r="AY50" s="26">
        <f aca="true" t="shared" si="61" ref="AY50:AY81">IF(O50-$AL50&lt;0.0001,"ND",(O50-$AL50)/(0.06413*AY$47))</f>
        <v>12533.50708753796</v>
      </c>
      <c r="AZ50" s="26">
        <f aca="true" t="shared" si="62" ref="AZ50:AZ81">IF(P50-$AL50&lt;0.0001,"ND",(P50-$AL50)/(0.06413*AZ$47))</f>
        <v>14943.511320012176</v>
      </c>
      <c r="BA50" s="26">
        <f aca="true" t="shared" si="63" ref="BA50:BA81">IF(Q50-$AL50&lt;0.0001,"ND",(Q50-$AL50)/(0.06413*BA$47))</f>
        <v>11212.007510785383</v>
      </c>
      <c r="BB50" s="26">
        <f aca="true" t="shared" si="64" ref="BB50:BB81">IF(R50-$AL50&lt;0.0001,"ND",(R50-$AL50)/(0.06413*BB$47))</f>
        <v>14701.198796006216</v>
      </c>
      <c r="BC50" s="26">
        <f aca="true" t="shared" si="65" ref="BC50:BC81">IF(S50-$AL50&lt;0.0001,"ND",(S50-$AL50)/(0.06413*BC$47))</f>
        <v>57643.71084469964</v>
      </c>
      <c r="BD50" s="26">
        <f aca="true" t="shared" si="66" ref="BD50:BD81">IF(T50-$AL50&lt;0.0001,"ND",(T50-$AL50)/(0.06413*BD$47))</f>
        <v>983.1318511466566</v>
      </c>
      <c r="BE50" s="26">
        <f aca="true" t="shared" si="67" ref="BE50:BE81">IF(U50-$AL50&lt;0.0001,"ND",(U50-$AL50)/(0.06413*BE$47))</f>
        <v>3667.766433590185</v>
      </c>
      <c r="BF50" s="26">
        <f aca="true" t="shared" si="68" ref="BF50:BF81">IF(V50-$AL50&lt;0.0001,"ND",(V50-$AL50)/(0.06413*BF$47))</f>
        <v>4453.844537356156</v>
      </c>
      <c r="BG50" s="26">
        <f aca="true" t="shared" si="69" ref="BG50:BG81">IF(W50-$AL50&lt;0.0001,"ND",(W50-$AL50)/(0.06413*BG$47))</f>
        <v>8877.641038159343</v>
      </c>
      <c r="BH50" s="26">
        <f aca="true" t="shared" si="70" ref="BH50:BH81">IF(X50-$AL50&lt;0.0001,"ND",(X50-$AL50)/(0.06413*BH$47))</f>
        <v>7430.979616410079</v>
      </c>
      <c r="BI50" s="26">
        <f aca="true" t="shared" si="71" ref="BI50:BI81">IF(Y50-$AL50&lt;0.0001,"ND",(Y50-$AL50)/(0.06413*BI$47))</f>
        <v>3253.7609617369476</v>
      </c>
      <c r="BJ50" s="26">
        <f aca="true" t="shared" si="72" ref="BJ50:BJ81">IF(Z50-$AL50&lt;0.0001,"ND",(Z50-$AL50)/(0.06413*BJ$47))</f>
        <v>7975.486491781517</v>
      </c>
      <c r="BK50" s="26">
        <f aca="true" t="shared" si="73" ref="BK50:BK81">IF(AA50-$AL50&lt;0.0001,"ND",(AA50-$AL50)/(0.06413*BK$47))</f>
        <v>2903.8892108894374</v>
      </c>
      <c r="BL50" s="26">
        <f aca="true" t="shared" si="74" ref="BL50:BL81">IF(AB50-$AL50&lt;0.0001,"ND",(AB50-$AL50)/(0.06413*BL$47))</f>
        <v>1892.5756574255404</v>
      </c>
      <c r="BM50" s="26">
        <f aca="true" t="shared" si="75" ref="BM50:BM81">IF(AC50-$AL50&lt;0.0001,"ND",(AC50-$AL50)/(0.06413*BM$47))</f>
        <v>3308.088683498008</v>
      </c>
      <c r="BN50" s="26">
        <f aca="true" t="shared" si="76" ref="BN50:BN81">IF(AD50-$AL50&lt;0.0001,"ND",(AD50-$AL50)/(0.06413*BN$47))</f>
        <v>2612.8973049534798</v>
      </c>
      <c r="BO50" s="13"/>
      <c r="BV50" s="30">
        <f aca="true" t="shared" si="77" ref="BV50:BV82">(SUM(AM50:BN50)-AN50-AP50-AW50)/25*8.76</f>
        <v>76674.21982348927</v>
      </c>
      <c r="BW50" s="13"/>
    </row>
    <row r="51" spans="1:75" ht="15">
      <c r="A51" s="4" t="s">
        <v>5</v>
      </c>
      <c r="B51" s="10">
        <f t="shared" si="48"/>
        <v>200</v>
      </c>
      <c r="C51" s="10">
        <f>40954+13700+5334</f>
        <v>59988</v>
      </c>
      <c r="D51" s="16">
        <f>40954+13700+5334</f>
        <v>59988</v>
      </c>
      <c r="E51" s="16">
        <v>15139</v>
      </c>
      <c r="F51" s="13"/>
      <c r="G51" s="16">
        <v>48362</v>
      </c>
      <c r="H51" s="16">
        <f>12749+20173</f>
        <v>32922</v>
      </c>
      <c r="I51" s="16">
        <f>8807+5636</f>
        <v>14443</v>
      </c>
      <c r="J51" s="16">
        <f>7425+2543</f>
        <v>9968</v>
      </c>
      <c r="K51" s="16">
        <f>4435+11239</f>
        <v>15674</v>
      </c>
      <c r="L51" s="16">
        <v>270616</v>
      </c>
      <c r="M51" s="16">
        <f>7781+431344</f>
        <v>439125</v>
      </c>
      <c r="N51" s="16">
        <f>8637+9131+62811</f>
        <v>80579</v>
      </c>
      <c r="O51" s="16">
        <f>29948+64036</f>
        <v>93984</v>
      </c>
      <c r="P51" s="16">
        <f>15505+5274+116894</f>
        <v>137673</v>
      </c>
      <c r="Q51" s="16">
        <v>101830</v>
      </c>
      <c r="R51" s="16">
        <f>72238+18124</f>
        <v>90362</v>
      </c>
      <c r="S51" s="16">
        <f>20198+554853+8016</f>
        <v>583067</v>
      </c>
      <c r="T51" s="16">
        <f>10563+3100</f>
        <v>13663</v>
      </c>
      <c r="U51" s="16">
        <f>11647+35326</f>
        <v>46973</v>
      </c>
      <c r="V51" s="16">
        <v>109569</v>
      </c>
      <c r="W51" s="16">
        <f>43772+35366</f>
        <v>79138</v>
      </c>
      <c r="X51" s="16">
        <v>88684</v>
      </c>
      <c r="Y51" s="16">
        <v>21985</v>
      </c>
      <c r="Z51" s="16">
        <f>41216+17503</f>
        <v>58719</v>
      </c>
      <c r="AA51" s="16">
        <f>2469+14560</f>
        <v>17029</v>
      </c>
      <c r="AB51" s="13"/>
      <c r="AC51" s="16">
        <v>24150</v>
      </c>
      <c r="AD51" s="16">
        <f>2377+18673</f>
        <v>21050</v>
      </c>
      <c r="AE51" s="13"/>
      <c r="AF51" s="13"/>
      <c r="AG51" s="13"/>
      <c r="AH51" s="13"/>
      <c r="AI51" s="13"/>
      <c r="AJ51" s="13"/>
      <c r="AK51" s="13"/>
      <c r="AL51" s="10">
        <v>2039</v>
      </c>
      <c r="AM51" s="19">
        <f t="shared" si="49"/>
        <v>1452.177825062428</v>
      </c>
      <c r="AN51" s="26">
        <f t="shared" si="50"/>
        <v>1452.177825062428</v>
      </c>
      <c r="AO51" s="26">
        <f t="shared" si="51"/>
        <v>425.56785695722226</v>
      </c>
      <c r="AP51" s="26" t="str">
        <f t="shared" si="52"/>
        <v>ND</v>
      </c>
      <c r="AQ51" s="26">
        <f t="shared" si="53"/>
        <v>2149.790603907242</v>
      </c>
      <c r="AR51" s="26">
        <f t="shared" si="54"/>
        <v>1439.667230497096</v>
      </c>
      <c r="AS51" s="26">
        <f t="shared" si="55"/>
        <v>575.6536202505326</v>
      </c>
      <c r="AT51" s="26">
        <f t="shared" si="56"/>
        <v>367.9746497070682</v>
      </c>
      <c r="AU51" s="26">
        <f t="shared" si="57"/>
        <v>632.7827404156734</v>
      </c>
      <c r="AV51" s="26">
        <f t="shared" si="58"/>
        <v>12652.594357288795</v>
      </c>
      <c r="AW51" s="26">
        <f t="shared" si="59"/>
        <v>17749.022168511878</v>
      </c>
      <c r="AX51" s="26">
        <f t="shared" si="60"/>
        <v>3644.939965694682</v>
      </c>
      <c r="AY51" s="26">
        <f t="shared" si="61"/>
        <v>4267.048703155049</v>
      </c>
      <c r="AZ51" s="26">
        <f t="shared" si="62"/>
        <v>6294.59876886978</v>
      </c>
      <c r="BA51" s="26">
        <f t="shared" si="63"/>
        <v>4052.275001299444</v>
      </c>
      <c r="BB51" s="26">
        <f t="shared" si="64"/>
        <v>5216.853550316828</v>
      </c>
      <c r="BC51" s="26">
        <f t="shared" si="65"/>
        <v>22206.272186092585</v>
      </c>
      <c r="BD51" s="26">
        <f t="shared" si="66"/>
        <v>397.4930308775212</v>
      </c>
      <c r="BE51" s="26">
        <f t="shared" si="67"/>
        <v>1387.4663624166874</v>
      </c>
      <c r="BF51" s="26">
        <f t="shared" si="68"/>
        <v>2692.4935380968864</v>
      </c>
      <c r="BG51" s="26">
        <f t="shared" si="69"/>
        <v>3348.829653554518</v>
      </c>
      <c r="BH51" s="26">
        <f t="shared" si="70"/>
        <v>2556.4498319033546</v>
      </c>
      <c r="BI51" s="26">
        <f t="shared" si="71"/>
        <v>925.6680997675851</v>
      </c>
      <c r="BJ51" s="26">
        <f t="shared" si="72"/>
        <v>2832.787566921357</v>
      </c>
      <c r="BK51" s="26">
        <f t="shared" si="73"/>
        <v>882.0526701364269</v>
      </c>
      <c r="BL51" s="26" t="str">
        <f t="shared" si="74"/>
        <v>ND</v>
      </c>
      <c r="BM51" s="26">
        <f t="shared" si="75"/>
        <v>1306.0001228565081</v>
      </c>
      <c r="BN51" s="26">
        <f t="shared" si="76"/>
        <v>771.9914626539841</v>
      </c>
      <c r="BO51" s="13"/>
      <c r="BV51" s="31">
        <f t="shared" si="77"/>
        <v>28900.79206130422</v>
      </c>
      <c r="BW51" s="13"/>
    </row>
    <row r="52" spans="1:75" ht="15">
      <c r="A52" s="4" t="s">
        <v>6</v>
      </c>
      <c r="B52" s="10">
        <f t="shared" si="48"/>
        <v>2000</v>
      </c>
      <c r="C52" s="11"/>
      <c r="D52" s="13"/>
      <c r="E52" s="13"/>
      <c r="F52" s="13"/>
      <c r="G52" s="16">
        <v>66728</v>
      </c>
      <c r="H52" s="13"/>
      <c r="I52" s="13"/>
      <c r="J52" s="16">
        <v>0</v>
      </c>
      <c r="K52" s="13"/>
      <c r="L52" s="13"/>
      <c r="M52" s="16">
        <v>751522</v>
      </c>
      <c r="N52" s="13"/>
      <c r="O52" s="16">
        <v>98146</v>
      </c>
      <c r="P52" s="13"/>
      <c r="Q52" s="13"/>
      <c r="R52" s="13"/>
      <c r="S52" s="16">
        <f>30463+506971</f>
        <v>537434</v>
      </c>
      <c r="T52" s="16">
        <v>21447</v>
      </c>
      <c r="U52" s="13"/>
      <c r="V52" s="16">
        <v>96823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0">
        <v>0</v>
      </c>
      <c r="AM52" s="19" t="str">
        <f t="shared" si="49"/>
        <v>ND</v>
      </c>
      <c r="AN52" s="26" t="str">
        <f t="shared" si="50"/>
        <v>ND</v>
      </c>
      <c r="AO52" s="26" t="str">
        <f t="shared" si="51"/>
        <v>ND</v>
      </c>
      <c r="AP52" s="26" t="str">
        <f t="shared" si="52"/>
        <v>ND</v>
      </c>
      <c r="AQ52" s="26">
        <f t="shared" si="53"/>
        <v>3096.7603008769383</v>
      </c>
      <c r="AR52" s="26" t="str">
        <f t="shared" si="54"/>
        <v>ND</v>
      </c>
      <c r="AS52" s="26" t="str">
        <f t="shared" si="55"/>
        <v>ND</v>
      </c>
      <c r="AT52" s="26" t="str">
        <f t="shared" si="56"/>
        <v>ND</v>
      </c>
      <c r="AU52" s="26" t="str">
        <f t="shared" si="57"/>
        <v>ND</v>
      </c>
      <c r="AV52" s="26" t="str">
        <f t="shared" si="58"/>
        <v>ND</v>
      </c>
      <c r="AW52" s="26">
        <f t="shared" si="59"/>
        <v>30517.519751546337</v>
      </c>
      <c r="AX52" s="26" t="str">
        <f t="shared" si="60"/>
        <v>ND</v>
      </c>
      <c r="AY52" s="26">
        <f t="shared" si="61"/>
        <v>4554.829104571814</v>
      </c>
      <c r="AZ52" s="26" t="str">
        <f t="shared" si="62"/>
        <v>ND</v>
      </c>
      <c r="BA52" s="26" t="str">
        <f t="shared" si="63"/>
        <v>ND</v>
      </c>
      <c r="BB52" s="26" t="str">
        <f t="shared" si="64"/>
        <v>ND</v>
      </c>
      <c r="BC52" s="26">
        <f t="shared" si="65"/>
        <v>20540.155872110267</v>
      </c>
      <c r="BD52" s="26">
        <f t="shared" si="66"/>
        <v>733.3992630101684</v>
      </c>
      <c r="BE52" s="26" t="str">
        <f t="shared" si="67"/>
        <v>ND</v>
      </c>
      <c r="BF52" s="26">
        <f t="shared" si="68"/>
        <v>2424.395999620151</v>
      </c>
      <c r="BG52" s="26" t="str">
        <f t="shared" si="69"/>
        <v>ND</v>
      </c>
      <c r="BH52" s="26" t="str">
        <f t="shared" si="70"/>
        <v>ND</v>
      </c>
      <c r="BI52" s="26" t="str">
        <f t="shared" si="71"/>
        <v>ND</v>
      </c>
      <c r="BJ52" s="26" t="str">
        <f t="shared" si="72"/>
        <v>ND</v>
      </c>
      <c r="BK52" s="26" t="str">
        <f t="shared" si="73"/>
        <v>ND</v>
      </c>
      <c r="BL52" s="26" t="str">
        <f t="shared" si="74"/>
        <v>ND</v>
      </c>
      <c r="BM52" s="26" t="str">
        <f t="shared" si="75"/>
        <v>ND</v>
      </c>
      <c r="BN52" s="26" t="str">
        <f t="shared" si="76"/>
        <v>ND</v>
      </c>
      <c r="BO52" s="13"/>
      <c r="BV52" s="31">
        <f t="shared" si="77"/>
        <v>10984.879005282346</v>
      </c>
      <c r="BW52" s="13"/>
    </row>
    <row r="53" spans="1:75" ht="15">
      <c r="A53" s="4" t="s">
        <v>7</v>
      </c>
      <c r="B53" s="10">
        <f t="shared" si="48"/>
        <v>10</v>
      </c>
      <c r="C53" s="10">
        <v>22</v>
      </c>
      <c r="D53" s="16">
        <v>22</v>
      </c>
      <c r="E53" s="13"/>
      <c r="F53" s="13"/>
      <c r="G53" s="16">
        <v>12.4</v>
      </c>
      <c r="H53" s="13"/>
      <c r="I53" s="13"/>
      <c r="J53" s="16">
        <v>0</v>
      </c>
      <c r="K53" s="13"/>
      <c r="L53" s="16">
        <v>53.4</v>
      </c>
      <c r="M53" s="16">
        <v>53.5</v>
      </c>
      <c r="N53" s="13"/>
      <c r="O53" s="16">
        <v>17.1</v>
      </c>
      <c r="P53" s="16">
        <v>22</v>
      </c>
      <c r="Q53" s="16">
        <v>30.1</v>
      </c>
      <c r="R53" s="16">
        <v>19</v>
      </c>
      <c r="S53" s="16">
        <v>72.3</v>
      </c>
      <c r="T53" s="13"/>
      <c r="U53" s="16">
        <v>5</v>
      </c>
      <c r="V53" s="16">
        <v>19.3</v>
      </c>
      <c r="W53" s="16">
        <v>24.7</v>
      </c>
      <c r="X53" s="13"/>
      <c r="Y53" s="13"/>
      <c r="Z53" s="16">
        <v>10.5</v>
      </c>
      <c r="AA53" s="13"/>
      <c r="AB53" s="13"/>
      <c r="AC53" s="16">
        <v>7.4</v>
      </c>
      <c r="AD53" s="13"/>
      <c r="AE53" s="13"/>
      <c r="AF53" s="13"/>
      <c r="AG53" s="13"/>
      <c r="AH53" s="13"/>
      <c r="AI53" s="13"/>
      <c r="AJ53" s="13"/>
      <c r="AK53" s="13"/>
      <c r="AL53" s="10">
        <v>0</v>
      </c>
      <c r="AM53" s="19">
        <f t="shared" si="49"/>
        <v>0.551310844904544</v>
      </c>
      <c r="AN53" s="26">
        <f t="shared" si="50"/>
        <v>0.551310844904544</v>
      </c>
      <c r="AO53" s="26" t="str">
        <f t="shared" si="51"/>
        <v>ND</v>
      </c>
      <c r="AP53" s="26" t="str">
        <f t="shared" si="52"/>
        <v>ND</v>
      </c>
      <c r="AQ53" s="26">
        <f t="shared" si="53"/>
        <v>0.5754679854165273</v>
      </c>
      <c r="AR53" s="26" t="str">
        <f t="shared" si="54"/>
        <v>ND</v>
      </c>
      <c r="AS53" s="26" t="str">
        <f t="shared" si="55"/>
        <v>ND</v>
      </c>
      <c r="AT53" s="26" t="str">
        <f t="shared" si="56"/>
        <v>ND</v>
      </c>
      <c r="AU53" s="26" t="str">
        <f t="shared" si="57"/>
        <v>ND</v>
      </c>
      <c r="AV53" s="26">
        <f t="shared" si="58"/>
        <v>2.515660457445059</v>
      </c>
      <c r="AW53" s="26">
        <f t="shared" si="59"/>
        <v>2.1725076667186443</v>
      </c>
      <c r="AX53" s="26" t="str">
        <f t="shared" si="60"/>
        <v>ND</v>
      </c>
      <c r="AY53" s="26">
        <f t="shared" si="61"/>
        <v>0.7935889153727919</v>
      </c>
      <c r="AZ53" s="26">
        <f t="shared" si="62"/>
        <v>1.0209915870293227</v>
      </c>
      <c r="BA53" s="26">
        <f t="shared" si="63"/>
        <v>1.2222893601538543</v>
      </c>
      <c r="BB53" s="26">
        <f t="shared" si="64"/>
        <v>1.1222469510322308</v>
      </c>
      <c r="BC53" s="26">
        <f t="shared" si="65"/>
        <v>2.763229102649948</v>
      </c>
      <c r="BD53" s="26" t="str">
        <f t="shared" si="66"/>
        <v>ND</v>
      </c>
      <c r="BE53" s="26">
        <f t="shared" si="67"/>
        <v>0.15438936689552316</v>
      </c>
      <c r="BF53" s="26">
        <f t="shared" si="68"/>
        <v>0.48326165056514375</v>
      </c>
      <c r="BG53" s="26">
        <f t="shared" si="69"/>
        <v>1.0728555810425116</v>
      </c>
      <c r="BH53" s="26" t="str">
        <f t="shared" si="70"/>
        <v>ND</v>
      </c>
      <c r="BI53" s="26" t="str">
        <f t="shared" si="71"/>
        <v>ND</v>
      </c>
      <c r="BJ53" s="26">
        <f t="shared" si="72"/>
        <v>0.5247753961304561</v>
      </c>
      <c r="BK53" s="26" t="str">
        <f t="shared" si="73"/>
        <v>ND</v>
      </c>
      <c r="BL53" s="26" t="str">
        <f t="shared" si="74"/>
        <v>ND</v>
      </c>
      <c r="BM53" s="26">
        <f t="shared" si="75"/>
        <v>0.43708565461255305</v>
      </c>
      <c r="BN53" s="26" t="str">
        <f t="shared" si="76"/>
        <v>ND</v>
      </c>
      <c r="BO53" s="13"/>
      <c r="BV53" s="31">
        <f t="shared" si="77"/>
        <v>4.638298359778964</v>
      </c>
      <c r="BW53" s="13"/>
    </row>
    <row r="54" spans="1:75" ht="15">
      <c r="A54" s="4" t="s">
        <v>8</v>
      </c>
      <c r="B54" s="10">
        <f t="shared" si="48"/>
        <v>0.5</v>
      </c>
      <c r="C54" s="10">
        <f>38+13.5+4.8</f>
        <v>56.3</v>
      </c>
      <c r="D54" s="16">
        <f>38+13.5+4.8</f>
        <v>56.3</v>
      </c>
      <c r="E54" s="16">
        <v>9.1</v>
      </c>
      <c r="F54" s="13"/>
      <c r="G54" s="16">
        <v>31.9</v>
      </c>
      <c r="H54" s="16">
        <f>7.8+13.6</f>
        <v>21.4</v>
      </c>
      <c r="I54" s="16">
        <f>4.9+2.6</f>
        <v>7.5</v>
      </c>
      <c r="J54" s="16">
        <f>4.1+1</f>
        <v>5.1</v>
      </c>
      <c r="K54" s="16">
        <f>1.6+10.5</f>
        <v>12.1</v>
      </c>
      <c r="L54" s="16">
        <v>166.4</v>
      </c>
      <c r="M54" s="16">
        <f>3.8+252.1</f>
        <v>255.9</v>
      </c>
      <c r="N54" s="16">
        <f>4.7+4.4+34.5</f>
        <v>43.6</v>
      </c>
      <c r="O54" s="16">
        <f>18.3+35.5</f>
        <v>53.8</v>
      </c>
      <c r="P54" s="16">
        <f>11.5+3.2+66.1</f>
        <v>80.8</v>
      </c>
      <c r="Q54" s="16">
        <v>70.5</v>
      </c>
      <c r="R54" s="16">
        <f>53+7.4</f>
        <v>60.4</v>
      </c>
      <c r="S54" s="16">
        <f>8.7+564.6+1.4</f>
        <v>574.7</v>
      </c>
      <c r="T54" s="16">
        <f>5.3+1.2</f>
        <v>6.5</v>
      </c>
      <c r="U54" s="16">
        <f>7.6+25.8</f>
        <v>33.4</v>
      </c>
      <c r="V54" s="16">
        <v>41.4</v>
      </c>
      <c r="W54" s="16">
        <f>31.1+20.9</f>
        <v>52</v>
      </c>
      <c r="X54" s="16">
        <v>58.3</v>
      </c>
      <c r="Y54" s="16">
        <v>15.3</v>
      </c>
      <c r="Z54" s="16">
        <f>23.2+10</f>
        <v>33.2</v>
      </c>
      <c r="AA54" s="16">
        <f>0.9+10.8</f>
        <v>11.700000000000001</v>
      </c>
      <c r="AB54" s="16">
        <f>4.3+1.7+1.3</f>
        <v>7.3</v>
      </c>
      <c r="AC54" s="16">
        <v>13.2</v>
      </c>
      <c r="AD54" s="16">
        <f>1.2+13.5</f>
        <v>14.7</v>
      </c>
      <c r="AE54" s="13"/>
      <c r="AF54" s="13"/>
      <c r="AG54" s="13"/>
      <c r="AH54" s="13"/>
      <c r="AI54" s="13"/>
      <c r="AJ54" s="13"/>
      <c r="AK54" s="13"/>
      <c r="AL54" s="10">
        <v>0</v>
      </c>
      <c r="AM54" s="19">
        <f t="shared" si="49"/>
        <v>1.4108545712784464</v>
      </c>
      <c r="AN54" s="26">
        <f t="shared" si="50"/>
        <v>1.4108545712784464</v>
      </c>
      <c r="AO54" s="26">
        <f t="shared" si="51"/>
        <v>0.29562347315349025</v>
      </c>
      <c r="AP54" s="26" t="str">
        <f t="shared" si="52"/>
        <v>ND</v>
      </c>
      <c r="AQ54" s="26">
        <f t="shared" si="53"/>
        <v>1.4804378011925179</v>
      </c>
      <c r="AR54" s="26">
        <f t="shared" si="54"/>
        <v>0.9975999330582473</v>
      </c>
      <c r="AS54" s="26">
        <f t="shared" si="55"/>
        <v>0.3480653137599964</v>
      </c>
      <c r="AT54" s="26">
        <f t="shared" si="56"/>
        <v>0.23668441335679752</v>
      </c>
      <c r="AU54" s="26">
        <f t="shared" si="57"/>
        <v>0.5615453728661275</v>
      </c>
      <c r="AV54" s="26">
        <f t="shared" si="58"/>
        <v>7.839061799978611</v>
      </c>
      <c r="AW54" s="26">
        <f t="shared" si="59"/>
        <v>10.391489942304693</v>
      </c>
      <c r="AX54" s="26">
        <f t="shared" si="60"/>
        <v>2.0234196906581126</v>
      </c>
      <c r="AY54" s="26">
        <f t="shared" si="61"/>
        <v>2.4967885173717073</v>
      </c>
      <c r="AZ54" s="26">
        <f t="shared" si="62"/>
        <v>3.749823646907694</v>
      </c>
      <c r="BA54" s="26">
        <f t="shared" si="63"/>
        <v>2.8628372056759708</v>
      </c>
      <c r="BB54" s="26">
        <f t="shared" si="64"/>
        <v>3.56756399170246</v>
      </c>
      <c r="BC54" s="26">
        <f t="shared" si="65"/>
        <v>21.964422756471997</v>
      </c>
      <c r="BD54" s="26">
        <f t="shared" si="66"/>
        <v>0.22227328808533103</v>
      </c>
      <c r="BE54" s="26">
        <f t="shared" si="67"/>
        <v>1.0313209708620945</v>
      </c>
      <c r="BF54" s="26">
        <f t="shared" si="68"/>
        <v>1.0366337996578732</v>
      </c>
      <c r="BG54" s="26">
        <f t="shared" si="69"/>
        <v>2.2586433285105505</v>
      </c>
      <c r="BH54" s="26">
        <f t="shared" si="70"/>
        <v>1.720134170465296</v>
      </c>
      <c r="BI54" s="26">
        <f t="shared" si="71"/>
        <v>0.7100532400703926</v>
      </c>
      <c r="BJ54" s="26">
        <f t="shared" si="72"/>
        <v>1.659289823955347</v>
      </c>
      <c r="BK54" s="26">
        <f t="shared" si="73"/>
        <v>0.6884600560771311</v>
      </c>
      <c r="BL54" s="26">
        <f t="shared" si="74"/>
        <v>0.3663114407468036</v>
      </c>
      <c r="BM54" s="26">
        <f t="shared" si="75"/>
        <v>0.7796663028223919</v>
      </c>
      <c r="BN54" s="26">
        <f t="shared" si="76"/>
        <v>0.5969320130983938</v>
      </c>
      <c r="BO54" s="13"/>
      <c r="BV54" s="31">
        <f t="shared" si="77"/>
        <v>21.340918201393038</v>
      </c>
      <c r="BW54" s="13"/>
    </row>
    <row r="55" spans="1:75" ht="15">
      <c r="A55" s="4" t="s">
        <v>9</v>
      </c>
      <c r="B55" s="10">
        <f t="shared" si="48"/>
        <v>50</v>
      </c>
      <c r="C55" s="10">
        <f>1054+372+232</f>
        <v>1658</v>
      </c>
      <c r="D55" s="16">
        <f>1054+372+232</f>
        <v>1658</v>
      </c>
      <c r="E55" s="16">
        <v>255.5</v>
      </c>
      <c r="F55" s="13"/>
      <c r="G55" s="16">
        <v>558.1</v>
      </c>
      <c r="H55" s="16">
        <f>197+303</f>
        <v>500</v>
      </c>
      <c r="I55" s="16">
        <f>132.4+108.5</f>
        <v>240.9</v>
      </c>
      <c r="J55" s="16">
        <v>234.3</v>
      </c>
      <c r="K55" s="16">
        <f>143.9+353.3</f>
        <v>497.20000000000005</v>
      </c>
      <c r="L55" s="16">
        <v>1901.4</v>
      </c>
      <c r="M55" s="16">
        <f>218.8+1497.9</f>
        <v>1716.7</v>
      </c>
      <c r="N55" s="16">
        <f>124.9+202+991.8</f>
        <v>1318.6999999999998</v>
      </c>
      <c r="O55" s="16">
        <f>278.4+575.8</f>
        <v>854.1999999999999</v>
      </c>
      <c r="P55" s="16">
        <f>247.2+115.9+1093.9</f>
        <v>1457</v>
      </c>
      <c r="Q55" s="16">
        <v>840.2</v>
      </c>
      <c r="R55" s="16">
        <f>882.5+204.4</f>
        <v>1086.9</v>
      </c>
      <c r="S55" s="16">
        <f>181.7+3940.9+368.4</f>
        <v>4491</v>
      </c>
      <c r="T55" s="16">
        <f>238.4+170</f>
        <v>408.4</v>
      </c>
      <c r="U55" s="16">
        <f>204.7+508.1</f>
        <v>712.8</v>
      </c>
      <c r="V55" s="16">
        <v>604.1</v>
      </c>
      <c r="W55" s="16">
        <f>407.1+323.1</f>
        <v>730.2</v>
      </c>
      <c r="X55" s="16">
        <v>959.8</v>
      </c>
      <c r="Y55" s="16">
        <v>298.1</v>
      </c>
      <c r="Z55" s="16">
        <f>478.6+259.5</f>
        <v>738.1</v>
      </c>
      <c r="AA55" s="16">
        <f>74.1+226.9</f>
        <v>301</v>
      </c>
      <c r="AB55" s="16">
        <f>184.7+142.5+171.1</f>
        <v>498.29999999999995</v>
      </c>
      <c r="AC55" s="16">
        <v>374.4</v>
      </c>
      <c r="AD55" s="16">
        <f>365.9+272.6</f>
        <v>638.5</v>
      </c>
      <c r="AE55" s="13"/>
      <c r="AF55" s="13"/>
      <c r="AG55" s="13"/>
      <c r="AH55" s="13"/>
      <c r="AI55" s="13"/>
      <c r="AJ55" s="13"/>
      <c r="AK55" s="13"/>
      <c r="AL55" s="10">
        <v>0</v>
      </c>
      <c r="AM55" s="19">
        <f t="shared" si="49"/>
        <v>41.548790038715175</v>
      </c>
      <c r="AN55" s="26">
        <f t="shared" si="50"/>
        <v>41.548790038715175</v>
      </c>
      <c r="AO55" s="26">
        <f t="shared" si="51"/>
        <v>8.300197515463381</v>
      </c>
      <c r="AP55" s="26" t="str">
        <f t="shared" si="52"/>
        <v>ND</v>
      </c>
      <c r="AQ55" s="26">
        <f t="shared" si="53"/>
        <v>25.900700214593865</v>
      </c>
      <c r="AR55" s="26">
        <f t="shared" si="54"/>
        <v>23.30840965089363</v>
      </c>
      <c r="AS55" s="26">
        <f t="shared" si="55"/>
        <v>11.179857877971084</v>
      </c>
      <c r="AT55" s="26">
        <f t="shared" si="56"/>
        <v>10.873560401862287</v>
      </c>
      <c r="AU55" s="26">
        <f t="shared" si="57"/>
        <v>23.074409866862695</v>
      </c>
      <c r="AV55" s="26">
        <f t="shared" si="58"/>
        <v>89.57447179374599</v>
      </c>
      <c r="AW55" s="26">
        <f t="shared" si="59"/>
        <v>69.71110114870835</v>
      </c>
      <c r="AX55" s="26">
        <f t="shared" si="60"/>
        <v>61.199163900707624</v>
      </c>
      <c r="AY55" s="26">
        <f t="shared" si="61"/>
        <v>39.64231880183852</v>
      </c>
      <c r="AZ55" s="26">
        <f t="shared" si="62"/>
        <v>67.61748828644197</v>
      </c>
      <c r="BA55" s="26">
        <f t="shared" si="63"/>
        <v>34.11852227246739</v>
      </c>
      <c r="BB55" s="26">
        <f t="shared" si="64"/>
        <v>64.19843216194377</v>
      </c>
      <c r="BC55" s="26">
        <f t="shared" si="65"/>
        <v>171.64124343016482</v>
      </c>
      <c r="BD55" s="26">
        <f t="shared" si="66"/>
        <v>13.965601669853722</v>
      </c>
      <c r="BE55" s="26">
        <f t="shared" si="67"/>
        <v>22.009748144625778</v>
      </c>
      <c r="BF55" s="26">
        <f t="shared" si="68"/>
        <v>15.1263400573266</v>
      </c>
      <c r="BG55" s="26">
        <f t="shared" si="69"/>
        <v>31.716564586123155</v>
      </c>
      <c r="BH55" s="26">
        <f t="shared" si="70"/>
        <v>28.318778332977548</v>
      </c>
      <c r="BI55" s="26">
        <f t="shared" si="71"/>
        <v>13.834436004247324</v>
      </c>
      <c r="BJ55" s="26">
        <f t="shared" si="72"/>
        <v>36.8892114175133</v>
      </c>
      <c r="BK55" s="26">
        <f t="shared" si="73"/>
        <v>17.71166469053132</v>
      </c>
      <c r="BL55" s="26">
        <f t="shared" si="74"/>
        <v>25.004519304675647</v>
      </c>
      <c r="BM55" s="26">
        <f t="shared" si="75"/>
        <v>22.114171498235116</v>
      </c>
      <c r="BN55" s="26">
        <f t="shared" si="76"/>
        <v>25.9279653308384</v>
      </c>
      <c r="BO55" s="13"/>
      <c r="BV55" s="31">
        <f t="shared" si="77"/>
        <v>324.04871716461724</v>
      </c>
      <c r="BW55" s="13"/>
    </row>
    <row r="56" spans="1:75" ht="15">
      <c r="A56" s="4" t="s">
        <v>10</v>
      </c>
      <c r="B56" s="10">
        <f t="shared" si="48"/>
        <v>10</v>
      </c>
      <c r="C56" s="10">
        <f>40+21+5</f>
        <v>66</v>
      </c>
      <c r="D56" s="16">
        <f>40+21+5</f>
        <v>66</v>
      </c>
      <c r="E56" s="16">
        <v>16.8</v>
      </c>
      <c r="F56" s="13"/>
      <c r="G56" s="16">
        <v>39.6</v>
      </c>
      <c r="H56" s="16">
        <f>17+30</f>
        <v>47</v>
      </c>
      <c r="I56" s="16">
        <f>5.7+5.7</f>
        <v>11.4</v>
      </c>
      <c r="J56" s="16">
        <v>10</v>
      </c>
      <c r="K56" s="16">
        <v>18.1</v>
      </c>
      <c r="L56" s="16">
        <v>197.2</v>
      </c>
      <c r="M56" s="16">
        <f>12.7+255.7</f>
        <v>268.4</v>
      </c>
      <c r="N56" s="16">
        <f>7.1+6.8+38.8</f>
        <v>52.699999999999996</v>
      </c>
      <c r="O56" s="16">
        <f>16.6+34.5</f>
        <v>51.1</v>
      </c>
      <c r="P56" s="16">
        <f>12.2+4.3+65.7</f>
        <v>82.2</v>
      </c>
      <c r="Q56" s="16">
        <v>68.3</v>
      </c>
      <c r="R56" s="16">
        <f>71+14.3</f>
        <v>85.3</v>
      </c>
      <c r="S56" s="16">
        <f>13+561.7+6.2</f>
        <v>580.9000000000001</v>
      </c>
      <c r="T56" s="16">
        <v>7.9</v>
      </c>
      <c r="U56" s="16">
        <f>11.8+33.8</f>
        <v>45.599999999999994</v>
      </c>
      <c r="V56" s="16">
        <v>71.7</v>
      </c>
      <c r="W56" s="16">
        <f>43.3+53.8</f>
        <v>97.1</v>
      </c>
      <c r="X56" s="16">
        <v>78.2</v>
      </c>
      <c r="Y56" s="16">
        <v>23.5</v>
      </c>
      <c r="Z56" s="16">
        <f>35.2+25.9</f>
        <v>61.1</v>
      </c>
      <c r="AA56" s="13"/>
      <c r="AB56" s="16">
        <f>15.2+5.9</f>
        <v>21.1</v>
      </c>
      <c r="AC56" s="16">
        <v>17</v>
      </c>
      <c r="AD56" s="16">
        <v>17.4</v>
      </c>
      <c r="AE56" s="13"/>
      <c r="AF56" s="13"/>
      <c r="AG56" s="13"/>
      <c r="AH56" s="13"/>
      <c r="AI56" s="13"/>
      <c r="AJ56" s="13"/>
      <c r="AK56" s="13"/>
      <c r="AL56" s="10">
        <v>9.4</v>
      </c>
      <c r="AM56" s="19">
        <f t="shared" si="49"/>
        <v>1.4183724464362357</v>
      </c>
      <c r="AN56" s="26">
        <f t="shared" si="50"/>
        <v>1.4183724464362357</v>
      </c>
      <c r="AO56" s="26">
        <f t="shared" si="51"/>
        <v>0.2403971100369042</v>
      </c>
      <c r="AP56" s="26" t="str">
        <f t="shared" si="52"/>
        <v>ND</v>
      </c>
      <c r="AQ56" s="26">
        <f t="shared" si="53"/>
        <v>1.4015429967402522</v>
      </c>
      <c r="AR56" s="26">
        <f t="shared" si="54"/>
        <v>1.752792405747201</v>
      </c>
      <c r="AS56" s="26">
        <f t="shared" si="55"/>
        <v>0.0928174170026657</v>
      </c>
      <c r="AT56" s="26">
        <f t="shared" si="56"/>
        <v>0.027845225100799693</v>
      </c>
      <c r="AU56" s="26">
        <f t="shared" si="57"/>
        <v>0.40375576396159585</v>
      </c>
      <c r="AV56" s="26">
        <f t="shared" si="58"/>
        <v>8.847210372812398</v>
      </c>
      <c r="AW56" s="26">
        <f t="shared" si="59"/>
        <v>10.517373564114559</v>
      </c>
      <c r="AX56" s="26">
        <f t="shared" si="60"/>
        <v>2.0094970781077124</v>
      </c>
      <c r="AY56" s="26">
        <f t="shared" si="61"/>
        <v>1.93524314450558</v>
      </c>
      <c r="AZ56" s="26">
        <f t="shared" si="62"/>
        <v>3.3785539788970316</v>
      </c>
      <c r="BA56" s="26">
        <f t="shared" si="63"/>
        <v>2.391788814387442</v>
      </c>
      <c r="BB56" s="26">
        <f t="shared" si="64"/>
        <v>4.483081241228753</v>
      </c>
      <c r="BC56" s="26">
        <f t="shared" si="65"/>
        <v>21.84212215995084</v>
      </c>
      <c r="BD56" s="26" t="str">
        <f t="shared" si="66"/>
        <v>ND</v>
      </c>
      <c r="BE56" s="26">
        <f t="shared" si="67"/>
        <v>1.1177790163235874</v>
      </c>
      <c r="BF56" s="26">
        <f t="shared" si="68"/>
        <v>1.5599585922387802</v>
      </c>
      <c r="BG56" s="26">
        <f t="shared" si="69"/>
        <v>3.8092888444302933</v>
      </c>
      <c r="BH56" s="26">
        <f t="shared" si="70"/>
        <v>2.029935350394723</v>
      </c>
      <c r="BI56" s="26">
        <f t="shared" si="71"/>
        <v>0.6543627898687931</v>
      </c>
      <c r="BJ56" s="26">
        <f t="shared" si="72"/>
        <v>2.5838940933280554</v>
      </c>
      <c r="BK56" s="26" t="str">
        <f t="shared" si="73"/>
        <v>ND</v>
      </c>
      <c r="BL56" s="26">
        <f t="shared" si="74"/>
        <v>0.5871018981832332</v>
      </c>
      <c r="BM56" s="26">
        <f t="shared" si="75"/>
        <v>0.44889878041289233</v>
      </c>
      <c r="BN56" s="26">
        <f t="shared" si="76"/>
        <v>0.3248609595093299</v>
      </c>
      <c r="BO56" s="13"/>
      <c r="BV56" s="31">
        <f t="shared" si="77"/>
        <v>22.194721608053637</v>
      </c>
      <c r="BW56" s="13"/>
    </row>
    <row r="57" spans="1:75" ht="15">
      <c r="A57" s="4" t="s">
        <v>11</v>
      </c>
      <c r="B57" s="10">
        <f t="shared" si="48"/>
        <v>100</v>
      </c>
      <c r="C57" s="10">
        <f>1881+1074+1025</f>
        <v>3980</v>
      </c>
      <c r="D57" s="16">
        <f>1881+1074+1025</f>
        <v>3980</v>
      </c>
      <c r="E57" s="16">
        <v>786</v>
      </c>
      <c r="F57" s="13"/>
      <c r="G57" s="16">
        <v>739.4</v>
      </c>
      <c r="H57" s="16">
        <f>4048+6554</f>
        <v>10602</v>
      </c>
      <c r="I57" s="16">
        <f>561+394</f>
        <v>955</v>
      </c>
      <c r="J57" s="16">
        <f>1361+966</f>
        <v>2327</v>
      </c>
      <c r="K57" s="16">
        <f>468+784</f>
        <v>1252</v>
      </c>
      <c r="L57" s="16">
        <v>2924</v>
      </c>
      <c r="M57" s="16">
        <f>770+29379</f>
        <v>30149</v>
      </c>
      <c r="N57" s="16">
        <f>541+472+968</f>
        <v>1981</v>
      </c>
      <c r="O57" s="16">
        <f>795+2452</f>
        <v>3247</v>
      </c>
      <c r="P57" s="16">
        <f>1085+383+1264</f>
        <v>2732</v>
      </c>
      <c r="Q57" s="16">
        <v>1054</v>
      </c>
      <c r="R57" s="16">
        <f>990+604</f>
        <v>1594</v>
      </c>
      <c r="S57" s="16">
        <f>478+1767+459</f>
        <v>2704</v>
      </c>
      <c r="T57" s="16">
        <f>558+399</f>
        <v>957</v>
      </c>
      <c r="U57" s="16">
        <f>1462+2194</f>
        <v>3656</v>
      </c>
      <c r="V57" s="16">
        <v>4501</v>
      </c>
      <c r="W57" s="16">
        <f>3127+4879</f>
        <v>8006</v>
      </c>
      <c r="X57" s="16">
        <v>2748</v>
      </c>
      <c r="Y57" s="16">
        <v>1023</v>
      </c>
      <c r="Z57" s="16">
        <f>1912+1217</f>
        <v>3129</v>
      </c>
      <c r="AA57" s="16">
        <f>387+618</f>
        <v>1005</v>
      </c>
      <c r="AB57" s="16">
        <f>538+509+545</f>
        <v>1592</v>
      </c>
      <c r="AC57" s="16">
        <v>650</v>
      </c>
      <c r="AD57" s="16">
        <f>641+988</f>
        <v>1629</v>
      </c>
      <c r="AE57" s="13"/>
      <c r="AF57" s="13"/>
      <c r="AG57" s="13"/>
      <c r="AH57" s="13"/>
      <c r="AI57" s="13"/>
      <c r="AJ57" s="13"/>
      <c r="AK57" s="13"/>
      <c r="AL57" s="10">
        <v>445</v>
      </c>
      <c r="AM57" s="19">
        <f t="shared" si="49"/>
        <v>88.5856289426165</v>
      </c>
      <c r="AN57" s="26">
        <f t="shared" si="50"/>
        <v>88.5856289426165</v>
      </c>
      <c r="AO57" s="26">
        <f t="shared" si="51"/>
        <v>11.077758719268152</v>
      </c>
      <c r="AP57" s="26" t="str">
        <f t="shared" si="52"/>
        <v>ND</v>
      </c>
      <c r="AQ57" s="26">
        <f t="shared" si="53"/>
        <v>13.66272378279239</v>
      </c>
      <c r="AR57" s="26">
        <f t="shared" si="54"/>
        <v>473.4870336482532</v>
      </c>
      <c r="AS57" s="26">
        <f t="shared" si="55"/>
        <v>23.668441335679756</v>
      </c>
      <c r="AT57" s="26">
        <f t="shared" si="56"/>
        <v>87.34118939950842</v>
      </c>
      <c r="AU57" s="26">
        <f t="shared" si="57"/>
        <v>37.45182776057561</v>
      </c>
      <c r="AV57" s="26">
        <f t="shared" si="58"/>
        <v>116.78506131097943</v>
      </c>
      <c r="AW57" s="26">
        <f t="shared" si="59"/>
        <v>1206.2087426581422</v>
      </c>
      <c r="AX57" s="26">
        <f t="shared" si="60"/>
        <v>71.28377625804725</v>
      </c>
      <c r="AY57" s="26">
        <f t="shared" si="61"/>
        <v>130.03720122073466</v>
      </c>
      <c r="AZ57" s="26">
        <f t="shared" si="62"/>
        <v>106.13671634254823</v>
      </c>
      <c r="BA57" s="26">
        <f t="shared" si="63"/>
        <v>24.730040542647746</v>
      </c>
      <c r="BB57" s="26">
        <f t="shared" si="64"/>
        <v>67.86640772294912</v>
      </c>
      <c r="BC57" s="26">
        <f t="shared" si="65"/>
        <v>86.33657735665605</v>
      </c>
      <c r="BD57" s="26">
        <f t="shared" si="66"/>
        <v>17.508295923029152</v>
      </c>
      <c r="BE57" s="26">
        <f t="shared" si="67"/>
        <v>99.14885142030496</v>
      </c>
      <c r="BF57" s="26">
        <f t="shared" si="68"/>
        <v>101.56006500995974</v>
      </c>
      <c r="BG57" s="26">
        <f t="shared" si="69"/>
        <v>328.4154270551591</v>
      </c>
      <c r="BH57" s="26">
        <f t="shared" si="70"/>
        <v>67.94972546452104</v>
      </c>
      <c r="BI57" s="26">
        <f t="shared" si="71"/>
        <v>26.824233513770388</v>
      </c>
      <c r="BJ57" s="26">
        <f t="shared" si="72"/>
        <v>134.14258697277563</v>
      </c>
      <c r="BK57" s="26">
        <f t="shared" si="73"/>
        <v>32.951934307965246</v>
      </c>
      <c r="BL57" s="26">
        <f t="shared" si="74"/>
        <v>57.556057881723795</v>
      </c>
      <c r="BM57" s="26">
        <f t="shared" si="75"/>
        <v>12.108453945347753</v>
      </c>
      <c r="BN57" s="26">
        <f t="shared" si="76"/>
        <v>48.07942200738084</v>
      </c>
      <c r="BO57" s="13"/>
      <c r="BV57" s="31">
        <f t="shared" si="77"/>
        <v>793.5492814209555</v>
      </c>
      <c r="BW57" s="13"/>
    </row>
    <row r="58" spans="1:75" ht="15">
      <c r="A58" s="4" t="s">
        <v>12</v>
      </c>
      <c r="B58" s="10">
        <f t="shared" si="48"/>
        <v>3</v>
      </c>
      <c r="C58" s="10">
        <v>77</v>
      </c>
      <c r="D58" s="16">
        <v>77</v>
      </c>
      <c r="E58" s="13"/>
      <c r="F58" s="13"/>
      <c r="G58" s="16">
        <v>32.9</v>
      </c>
      <c r="H58" s="13"/>
      <c r="I58" s="16">
        <v>12.6</v>
      </c>
      <c r="J58" s="16">
        <f>50.1+33.5</f>
        <v>83.6</v>
      </c>
      <c r="K58" s="16">
        <v>40.1</v>
      </c>
      <c r="L58" s="16">
        <v>226</v>
      </c>
      <c r="M58" s="16">
        <v>343.6</v>
      </c>
      <c r="N58" s="13"/>
      <c r="O58" s="16">
        <v>62.5</v>
      </c>
      <c r="P58" s="13"/>
      <c r="Q58" s="13"/>
      <c r="R58" s="13"/>
      <c r="S58" s="16">
        <f>17.5+227.1</f>
        <v>244.6</v>
      </c>
      <c r="T58" s="16">
        <v>28</v>
      </c>
      <c r="U58" s="16">
        <v>47.5</v>
      </c>
      <c r="V58" s="16">
        <v>86.5</v>
      </c>
      <c r="W58" s="16">
        <v>49.2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0">
        <v>0</v>
      </c>
      <c r="AM58" s="19">
        <f t="shared" si="49"/>
        <v>1.9295879571659038</v>
      </c>
      <c r="AN58" s="26">
        <f t="shared" si="50"/>
        <v>1.9295879571659038</v>
      </c>
      <c r="AO58" s="26" t="str">
        <f t="shared" si="51"/>
        <v>ND</v>
      </c>
      <c r="AP58" s="26" t="str">
        <f t="shared" si="52"/>
        <v>ND</v>
      </c>
      <c r="AQ58" s="26">
        <f t="shared" si="53"/>
        <v>1.5268465096938508</v>
      </c>
      <c r="AR58" s="26" t="str">
        <f t="shared" si="54"/>
        <v>ND</v>
      </c>
      <c r="AS58" s="26">
        <f t="shared" si="55"/>
        <v>0.584749727116794</v>
      </c>
      <c r="AT58" s="26">
        <f t="shared" si="56"/>
        <v>3.879768030711426</v>
      </c>
      <c r="AU58" s="26">
        <f t="shared" si="57"/>
        <v>1.8609892109034474</v>
      </c>
      <c r="AV58" s="26">
        <f t="shared" si="58"/>
        <v>10.646802685067104</v>
      </c>
      <c r="AW58" s="26">
        <f t="shared" si="59"/>
        <v>13.952778210925723</v>
      </c>
      <c r="AX58" s="26" t="str">
        <f t="shared" si="60"/>
        <v>ND</v>
      </c>
      <c r="AY58" s="26">
        <f t="shared" si="61"/>
        <v>2.9005442813333033</v>
      </c>
      <c r="AZ58" s="26" t="str">
        <f t="shared" si="62"/>
        <v>ND</v>
      </c>
      <c r="BA58" s="26" t="str">
        <f t="shared" si="63"/>
        <v>ND</v>
      </c>
      <c r="BB58" s="26" t="str">
        <f t="shared" si="64"/>
        <v>ND</v>
      </c>
      <c r="BC58" s="26">
        <f t="shared" si="65"/>
        <v>9.348351846586132</v>
      </c>
      <c r="BD58" s="26">
        <f t="shared" si="66"/>
        <v>0.9574849332906568</v>
      </c>
      <c r="BE58" s="26">
        <f t="shared" si="67"/>
        <v>1.46669898550747</v>
      </c>
      <c r="BF58" s="26">
        <f t="shared" si="68"/>
        <v>2.1659136152271987</v>
      </c>
      <c r="BG58" s="26">
        <f t="shared" si="69"/>
        <v>2.1370240723599827</v>
      </c>
      <c r="BH58" s="26" t="str">
        <f t="shared" si="70"/>
        <v>ND</v>
      </c>
      <c r="BI58" s="26" t="str">
        <f t="shared" si="71"/>
        <v>ND</v>
      </c>
      <c r="BJ58" s="26" t="str">
        <f t="shared" si="72"/>
        <v>ND</v>
      </c>
      <c r="BK58" s="26" t="str">
        <f t="shared" si="73"/>
        <v>ND</v>
      </c>
      <c r="BL58" s="26" t="str">
        <f t="shared" si="74"/>
        <v>ND</v>
      </c>
      <c r="BM58" s="26" t="str">
        <f t="shared" si="75"/>
        <v>ND</v>
      </c>
      <c r="BN58" s="26" t="str">
        <f t="shared" si="76"/>
        <v>ND</v>
      </c>
      <c r="BO58" s="13"/>
      <c r="BV58" s="31">
        <f t="shared" si="77"/>
        <v>13.807428553979127</v>
      </c>
      <c r="BW58" s="13"/>
    </row>
    <row r="59" spans="1:75" ht="15">
      <c r="A59" s="4" t="s">
        <v>13</v>
      </c>
      <c r="B59" s="10">
        <f t="shared" si="48"/>
        <v>200</v>
      </c>
      <c r="C59" s="11"/>
      <c r="D59" s="13"/>
      <c r="E59" s="13"/>
      <c r="F59" s="13"/>
      <c r="G59" s="16">
        <v>89.7</v>
      </c>
      <c r="H59" s="13"/>
      <c r="I59" s="13"/>
      <c r="J59" s="16">
        <v>0</v>
      </c>
      <c r="K59" s="13"/>
      <c r="L59" s="13"/>
      <c r="M59" s="16">
        <v>0</v>
      </c>
      <c r="N59" s="13"/>
      <c r="O59" s="13"/>
      <c r="P59" s="13"/>
      <c r="Q59" s="13"/>
      <c r="R59" s="13"/>
      <c r="S59" s="16">
        <v>349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0">
        <v>0</v>
      </c>
      <c r="AM59" s="19" t="str">
        <f t="shared" si="49"/>
        <v>ND</v>
      </c>
      <c r="AN59" s="26" t="str">
        <f t="shared" si="50"/>
        <v>ND</v>
      </c>
      <c r="AO59" s="26" t="str">
        <f t="shared" si="51"/>
        <v>ND</v>
      </c>
      <c r="AP59" s="26" t="str">
        <f t="shared" si="52"/>
        <v>ND</v>
      </c>
      <c r="AQ59" s="26">
        <f t="shared" si="53"/>
        <v>4.1628611525695565</v>
      </c>
      <c r="AR59" s="26" t="str">
        <f t="shared" si="54"/>
        <v>ND</v>
      </c>
      <c r="AS59" s="26" t="str">
        <f t="shared" si="55"/>
        <v>ND</v>
      </c>
      <c r="AT59" s="26" t="str">
        <f t="shared" si="56"/>
        <v>ND</v>
      </c>
      <c r="AU59" s="26" t="str">
        <f t="shared" si="57"/>
        <v>ND</v>
      </c>
      <c r="AV59" s="26" t="str">
        <f t="shared" si="58"/>
        <v>ND</v>
      </c>
      <c r="AW59" s="26" t="str">
        <f t="shared" si="59"/>
        <v>ND</v>
      </c>
      <c r="AX59" s="26" t="str">
        <f t="shared" si="60"/>
        <v>ND</v>
      </c>
      <c r="AY59" s="26" t="str">
        <f t="shared" si="61"/>
        <v>ND</v>
      </c>
      <c r="AZ59" s="26" t="str">
        <f t="shared" si="62"/>
        <v>ND</v>
      </c>
      <c r="BA59" s="26" t="str">
        <f t="shared" si="63"/>
        <v>ND</v>
      </c>
      <c r="BB59" s="26" t="str">
        <f t="shared" si="64"/>
        <v>ND</v>
      </c>
      <c r="BC59" s="26">
        <f t="shared" si="65"/>
        <v>13.33840880808896</v>
      </c>
      <c r="BD59" s="26" t="str">
        <f t="shared" si="66"/>
        <v>ND</v>
      </c>
      <c r="BE59" s="26" t="str">
        <f t="shared" si="67"/>
        <v>ND</v>
      </c>
      <c r="BF59" s="26" t="str">
        <f t="shared" si="68"/>
        <v>ND</v>
      </c>
      <c r="BG59" s="26" t="str">
        <f t="shared" si="69"/>
        <v>ND</v>
      </c>
      <c r="BH59" s="26" t="str">
        <f t="shared" si="70"/>
        <v>ND</v>
      </c>
      <c r="BI59" s="26" t="str">
        <f t="shared" si="71"/>
        <v>ND</v>
      </c>
      <c r="BJ59" s="26" t="str">
        <f t="shared" si="72"/>
        <v>ND</v>
      </c>
      <c r="BK59" s="26" t="str">
        <f t="shared" si="73"/>
        <v>ND</v>
      </c>
      <c r="BL59" s="26" t="str">
        <f t="shared" si="74"/>
        <v>ND</v>
      </c>
      <c r="BM59" s="26" t="str">
        <f t="shared" si="75"/>
        <v>ND</v>
      </c>
      <c r="BN59" s="26" t="str">
        <f t="shared" si="76"/>
        <v>ND</v>
      </c>
      <c r="BO59" s="13"/>
      <c r="BV59" s="31">
        <f t="shared" si="77"/>
        <v>6.132444994214745</v>
      </c>
      <c r="BW59" s="13"/>
    </row>
    <row r="60" spans="1:75" ht="15">
      <c r="A60" s="4" t="s">
        <v>14</v>
      </c>
      <c r="B60" s="10">
        <f t="shared" si="48"/>
        <v>20</v>
      </c>
      <c r="C60" s="11"/>
      <c r="D60" s="13"/>
      <c r="E60" s="13"/>
      <c r="F60" s="13"/>
      <c r="G60" s="16">
        <v>68.3</v>
      </c>
      <c r="H60" s="13"/>
      <c r="I60" s="13"/>
      <c r="J60" s="16">
        <v>0</v>
      </c>
      <c r="K60" s="13"/>
      <c r="L60" s="16">
        <v>163.8</v>
      </c>
      <c r="M60" s="16">
        <v>240.8</v>
      </c>
      <c r="N60" s="13"/>
      <c r="O60" s="16">
        <f>29.4+45.2</f>
        <v>74.6</v>
      </c>
      <c r="P60" s="13"/>
      <c r="Q60" s="16">
        <v>233.7</v>
      </c>
      <c r="R60" s="13"/>
      <c r="S60" s="16">
        <v>192.4</v>
      </c>
      <c r="T60" s="13"/>
      <c r="U60" s="16">
        <v>17.9</v>
      </c>
      <c r="V60" s="16">
        <v>67.7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0">
        <v>0</v>
      </c>
      <c r="AM60" s="19" t="str">
        <f t="shared" si="49"/>
        <v>ND</v>
      </c>
      <c r="AN60" s="26" t="str">
        <f t="shared" si="50"/>
        <v>ND</v>
      </c>
      <c r="AO60" s="26" t="str">
        <f t="shared" si="51"/>
        <v>ND</v>
      </c>
      <c r="AP60" s="26" t="str">
        <f t="shared" si="52"/>
        <v>ND</v>
      </c>
      <c r="AQ60" s="26">
        <f t="shared" si="53"/>
        <v>3.1697147906410335</v>
      </c>
      <c r="AR60" s="26" t="str">
        <f t="shared" si="54"/>
        <v>ND</v>
      </c>
      <c r="AS60" s="26" t="str">
        <f t="shared" si="55"/>
        <v>ND</v>
      </c>
      <c r="AT60" s="26" t="str">
        <f t="shared" si="56"/>
        <v>ND</v>
      </c>
      <c r="AU60" s="26" t="str">
        <f t="shared" si="57"/>
        <v>ND</v>
      </c>
      <c r="AV60" s="26">
        <f t="shared" si="58"/>
        <v>7.716576459353946</v>
      </c>
      <c r="AW60" s="26">
        <f t="shared" si="59"/>
        <v>9.778314881230834</v>
      </c>
      <c r="AX60" s="26" t="str">
        <f t="shared" si="60"/>
        <v>ND</v>
      </c>
      <c r="AY60" s="26">
        <f t="shared" si="61"/>
        <v>3.4620896541994304</v>
      </c>
      <c r="AZ60" s="26" t="str">
        <f t="shared" si="62"/>
        <v>ND</v>
      </c>
      <c r="BA60" s="26">
        <f t="shared" si="63"/>
        <v>9.490000779666302</v>
      </c>
      <c r="BB60" s="26" t="str">
        <f t="shared" si="64"/>
        <v>ND</v>
      </c>
      <c r="BC60" s="26">
        <f t="shared" si="65"/>
        <v>7.353323365834717</v>
      </c>
      <c r="BD60" s="26" t="str">
        <f t="shared" si="66"/>
        <v>ND</v>
      </c>
      <c r="BE60" s="26">
        <f t="shared" si="67"/>
        <v>0.5527139334859729</v>
      </c>
      <c r="BF60" s="26">
        <f t="shared" si="68"/>
        <v>1.695171696541981</v>
      </c>
      <c r="BG60" s="26" t="str">
        <f t="shared" si="69"/>
        <v>ND</v>
      </c>
      <c r="BH60" s="26" t="str">
        <f t="shared" si="70"/>
        <v>ND</v>
      </c>
      <c r="BI60" s="26" t="str">
        <f t="shared" si="71"/>
        <v>ND</v>
      </c>
      <c r="BJ60" s="26" t="str">
        <f t="shared" si="72"/>
        <v>ND</v>
      </c>
      <c r="BK60" s="26" t="str">
        <f t="shared" si="73"/>
        <v>ND</v>
      </c>
      <c r="BL60" s="26" t="str">
        <f t="shared" si="74"/>
        <v>ND</v>
      </c>
      <c r="BM60" s="26" t="str">
        <f t="shared" si="75"/>
        <v>ND</v>
      </c>
      <c r="BN60" s="26" t="str">
        <f t="shared" si="76"/>
        <v>ND</v>
      </c>
      <c r="BO60" s="13"/>
      <c r="BV60" s="31">
        <f t="shared" si="77"/>
        <v>11.717232574175075</v>
      </c>
      <c r="BW60" s="13"/>
    </row>
    <row r="61" spans="1:75" ht="15">
      <c r="A61" s="4" t="s">
        <v>15</v>
      </c>
      <c r="B61" s="10">
        <f t="shared" si="48"/>
        <v>5</v>
      </c>
      <c r="C61" s="10">
        <f>40+21+57</f>
        <v>118</v>
      </c>
      <c r="D61" s="16">
        <f>40+21+57</f>
        <v>118</v>
      </c>
      <c r="E61" s="16">
        <v>46.4</v>
      </c>
      <c r="F61" s="13"/>
      <c r="G61" s="16">
        <v>0</v>
      </c>
      <c r="H61" s="16">
        <v>7</v>
      </c>
      <c r="I61" s="16">
        <v>57</v>
      </c>
      <c r="J61" s="16">
        <v>0</v>
      </c>
      <c r="K61" s="16">
        <f>56.4+22.4</f>
        <v>78.8</v>
      </c>
      <c r="L61" s="16">
        <v>87.3</v>
      </c>
      <c r="M61" s="16">
        <v>57</v>
      </c>
      <c r="N61" s="16">
        <f>22.9+62.6+18.1</f>
        <v>103.6</v>
      </c>
      <c r="O61" s="16">
        <f>6.2+9.1</f>
        <v>15.3</v>
      </c>
      <c r="P61" s="16">
        <f>62.3+54.2</f>
        <v>116.5</v>
      </c>
      <c r="Q61" s="16">
        <v>28.8</v>
      </c>
      <c r="R61" s="16">
        <v>31.4</v>
      </c>
      <c r="S61" s="16">
        <f>58.5+38.2</f>
        <v>96.7</v>
      </c>
      <c r="T61" s="16">
        <f>68.7+3.6</f>
        <v>72.3</v>
      </c>
      <c r="U61" s="16">
        <f>59.2+94.5</f>
        <v>153.7</v>
      </c>
      <c r="V61" s="16">
        <v>25.4</v>
      </c>
      <c r="W61" s="16">
        <f>18+5.4</f>
        <v>23.4</v>
      </c>
      <c r="X61" s="16">
        <v>32.3</v>
      </c>
      <c r="Y61" s="16">
        <v>67.5</v>
      </c>
      <c r="Z61" s="16">
        <v>12.1</v>
      </c>
      <c r="AA61" s="16">
        <v>10.7</v>
      </c>
      <c r="AB61" s="13"/>
      <c r="AC61" s="13"/>
      <c r="AD61" s="16">
        <v>7.1</v>
      </c>
      <c r="AE61" s="13"/>
      <c r="AF61" s="13"/>
      <c r="AG61" s="13"/>
      <c r="AH61" s="13"/>
      <c r="AI61" s="13"/>
      <c r="AJ61" s="13"/>
      <c r="AK61" s="13"/>
      <c r="AL61" s="10">
        <v>0</v>
      </c>
      <c r="AM61" s="19">
        <f t="shared" si="49"/>
        <v>2.957030895397099</v>
      </c>
      <c r="AN61" s="26">
        <f t="shared" si="50"/>
        <v>2.957030895397099</v>
      </c>
      <c r="AO61" s="26">
        <f t="shared" si="51"/>
        <v>1.5073548521232911</v>
      </c>
      <c r="AP61" s="26" t="str">
        <f t="shared" si="52"/>
        <v>ND</v>
      </c>
      <c r="AQ61" s="26" t="str">
        <f t="shared" si="53"/>
        <v>ND</v>
      </c>
      <c r="AR61" s="26">
        <f t="shared" si="54"/>
        <v>0.32631773511251083</v>
      </c>
      <c r="AS61" s="26">
        <f t="shared" si="55"/>
        <v>2.6452963845759725</v>
      </c>
      <c r="AT61" s="26" t="str">
        <f t="shared" si="56"/>
        <v>ND</v>
      </c>
      <c r="AU61" s="26">
        <f t="shared" si="57"/>
        <v>3.6570062299050283</v>
      </c>
      <c r="AV61" s="26">
        <f t="shared" si="58"/>
        <v>4.112680860205125</v>
      </c>
      <c r="AW61" s="26">
        <f t="shared" si="59"/>
        <v>2.314634336503976</v>
      </c>
      <c r="AX61" s="26">
        <f t="shared" si="60"/>
        <v>4.807942200738083</v>
      </c>
      <c r="AY61" s="26">
        <f t="shared" si="61"/>
        <v>0.7100532400703926</v>
      </c>
      <c r="AZ61" s="26">
        <f t="shared" si="62"/>
        <v>5.406614540405277</v>
      </c>
      <c r="BA61" s="26">
        <f t="shared" si="63"/>
        <v>1.169499454233588</v>
      </c>
      <c r="BB61" s="26">
        <f t="shared" si="64"/>
        <v>1.8546607506532655</v>
      </c>
      <c r="BC61" s="26">
        <f t="shared" si="65"/>
        <v>3.6957711511237896</v>
      </c>
      <c r="BD61" s="26">
        <f t="shared" si="66"/>
        <v>2.4723628813183742</v>
      </c>
      <c r="BE61" s="26">
        <f t="shared" si="67"/>
        <v>4.745929138368381</v>
      </c>
      <c r="BF61" s="26">
        <f t="shared" si="68"/>
        <v>0.636002379500241</v>
      </c>
      <c r="BG61" s="26">
        <f t="shared" si="69"/>
        <v>1.0163894978297476</v>
      </c>
      <c r="BH61" s="26">
        <f t="shared" si="70"/>
        <v>0.953007439211476</v>
      </c>
      <c r="BI61" s="26">
        <f t="shared" si="71"/>
        <v>3.1325878238399674</v>
      </c>
      <c r="BJ61" s="26">
        <f t="shared" si="72"/>
        <v>0.6047411707789065</v>
      </c>
      <c r="BK61" s="26">
        <f t="shared" si="73"/>
        <v>0.6296173162414788</v>
      </c>
      <c r="BL61" s="26" t="str">
        <f t="shared" si="74"/>
        <v>ND</v>
      </c>
      <c r="BM61" s="26" t="str">
        <f t="shared" si="75"/>
        <v>ND</v>
      </c>
      <c r="BN61" s="26">
        <f t="shared" si="76"/>
        <v>0.28831410156453036</v>
      </c>
      <c r="BO61" s="13"/>
      <c r="BV61" s="31">
        <f t="shared" si="77"/>
        <v>16.584144687136064</v>
      </c>
      <c r="BW61" s="13"/>
    </row>
    <row r="62" spans="1:75" ht="15">
      <c r="A62" s="4" t="s">
        <v>16</v>
      </c>
      <c r="B62" s="10">
        <f t="shared" si="48"/>
        <v>3</v>
      </c>
      <c r="C62" s="10">
        <f>77+31</f>
        <v>108</v>
      </c>
      <c r="D62" s="16">
        <f>77+31</f>
        <v>108</v>
      </c>
      <c r="E62" s="13"/>
      <c r="F62" s="13"/>
      <c r="G62" s="16">
        <v>54</v>
      </c>
      <c r="H62" s="16">
        <v>24</v>
      </c>
      <c r="I62" s="16">
        <f>6.1+13.6</f>
        <v>19.7</v>
      </c>
      <c r="J62" s="16">
        <v>0</v>
      </c>
      <c r="K62" s="16">
        <v>36.2</v>
      </c>
      <c r="L62" s="16">
        <v>61</v>
      </c>
      <c r="M62" s="16">
        <v>32</v>
      </c>
      <c r="N62" s="16">
        <v>8.6</v>
      </c>
      <c r="O62" s="16">
        <f>16.6+12.2</f>
        <v>28.8</v>
      </c>
      <c r="P62" s="16">
        <f>15.9+14.8</f>
        <v>30.700000000000003</v>
      </c>
      <c r="Q62" s="16">
        <v>64</v>
      </c>
      <c r="R62" s="16">
        <f>27.4+18.8</f>
        <v>46.2</v>
      </c>
      <c r="S62" s="16">
        <f>23.4+66.9+34.1</f>
        <v>124.4</v>
      </c>
      <c r="T62" s="13"/>
      <c r="U62" s="16">
        <f>22.7+19.6</f>
        <v>42.3</v>
      </c>
      <c r="V62" s="16">
        <v>14.2</v>
      </c>
      <c r="W62" s="13"/>
      <c r="X62" s="16">
        <v>23.1</v>
      </c>
      <c r="Y62" s="16">
        <v>16.1</v>
      </c>
      <c r="Z62" s="16">
        <v>23.7</v>
      </c>
      <c r="AA62" s="13"/>
      <c r="AB62" s="13"/>
      <c r="AC62" s="16">
        <v>7.5</v>
      </c>
      <c r="AD62" s="16">
        <v>13.3</v>
      </c>
      <c r="AE62" s="13"/>
      <c r="AF62" s="13"/>
      <c r="AG62" s="13"/>
      <c r="AH62" s="13"/>
      <c r="AI62" s="13"/>
      <c r="AJ62" s="13"/>
      <c r="AK62" s="13"/>
      <c r="AL62" s="10">
        <v>0</v>
      </c>
      <c r="AM62" s="19">
        <f t="shared" si="49"/>
        <v>2.706435056804125</v>
      </c>
      <c r="AN62" s="26">
        <f t="shared" si="50"/>
        <v>2.706435056804125</v>
      </c>
      <c r="AO62" s="26" t="str">
        <f t="shared" si="51"/>
        <v>ND</v>
      </c>
      <c r="AP62" s="26" t="str">
        <f t="shared" si="52"/>
        <v>ND</v>
      </c>
      <c r="AQ62" s="26">
        <f t="shared" si="53"/>
        <v>2.506070259071974</v>
      </c>
      <c r="AR62" s="26">
        <f t="shared" si="54"/>
        <v>1.1188036632428944</v>
      </c>
      <c r="AS62" s="26">
        <f t="shared" si="55"/>
        <v>0.9142515574762571</v>
      </c>
      <c r="AT62" s="26" t="str">
        <f t="shared" si="56"/>
        <v>ND</v>
      </c>
      <c r="AU62" s="26">
        <f t="shared" si="57"/>
        <v>1.6799952477482494</v>
      </c>
      <c r="AV62" s="26">
        <f t="shared" si="58"/>
        <v>2.873694530040236</v>
      </c>
      <c r="AW62" s="26">
        <f t="shared" si="59"/>
        <v>1.2994438380373199</v>
      </c>
      <c r="AX62" s="26">
        <f t="shared" si="60"/>
        <v>0.3991148931114625</v>
      </c>
      <c r="AY62" s="26">
        <f t="shared" si="61"/>
        <v>1.3365708048383862</v>
      </c>
      <c r="AZ62" s="26">
        <f t="shared" si="62"/>
        <v>1.4247473509909188</v>
      </c>
      <c r="BA62" s="26">
        <f t="shared" si="63"/>
        <v>2.5988876760746398</v>
      </c>
      <c r="BB62" s="26">
        <f t="shared" si="64"/>
        <v>2.7288320598783717</v>
      </c>
      <c r="BC62" s="26">
        <f t="shared" si="65"/>
        <v>4.754435689760077</v>
      </c>
      <c r="BD62" s="26" t="str">
        <f t="shared" si="66"/>
        <v>ND</v>
      </c>
      <c r="BE62" s="26">
        <f t="shared" si="67"/>
        <v>1.3061340439361258</v>
      </c>
      <c r="BF62" s="26">
        <f t="shared" si="68"/>
        <v>0.3555603853898985</v>
      </c>
      <c r="BG62" s="26" t="str">
        <f t="shared" si="69"/>
        <v>ND</v>
      </c>
      <c r="BH62" s="26">
        <f t="shared" si="70"/>
        <v>0.68156259584474</v>
      </c>
      <c r="BI62" s="26">
        <f t="shared" si="71"/>
        <v>0.7471802068714589</v>
      </c>
      <c r="BJ62" s="26">
        <f t="shared" si="72"/>
        <v>1.1844930369801723</v>
      </c>
      <c r="BK62" s="26" t="str">
        <f t="shared" si="73"/>
        <v>ND</v>
      </c>
      <c r="BL62" s="26" t="str">
        <f t="shared" si="74"/>
        <v>ND</v>
      </c>
      <c r="BM62" s="26">
        <f t="shared" si="75"/>
        <v>0.44299221751272266</v>
      </c>
      <c r="BN62" s="26">
        <f t="shared" si="76"/>
        <v>0.5400813451842611</v>
      </c>
      <c r="BO62" s="13"/>
      <c r="BV62" s="31">
        <f t="shared" si="77"/>
        <v>10.617064854313245</v>
      </c>
      <c r="BW62" s="13"/>
    </row>
    <row r="63" spans="1:75" ht="15">
      <c r="A63" s="4" t="s">
        <v>17</v>
      </c>
      <c r="B63" s="10">
        <f t="shared" si="48"/>
        <v>10</v>
      </c>
      <c r="C63" s="11"/>
      <c r="D63" s="13"/>
      <c r="E63" s="13"/>
      <c r="F63" s="13"/>
      <c r="G63" s="13"/>
      <c r="H63" s="13"/>
      <c r="I63" s="13"/>
      <c r="J63" s="16">
        <v>0</v>
      </c>
      <c r="K63" s="13"/>
      <c r="L63" s="16">
        <v>922.8</v>
      </c>
      <c r="M63" s="16">
        <f>510.8+927.1</f>
        <v>1437.9</v>
      </c>
      <c r="N63" s="13"/>
      <c r="O63" s="13"/>
      <c r="P63" s="13"/>
      <c r="Q63" s="13"/>
      <c r="R63" s="13"/>
      <c r="S63" s="16">
        <f>608+1606+550</f>
        <v>2764</v>
      </c>
      <c r="T63" s="16">
        <f>849+984</f>
        <v>1833</v>
      </c>
      <c r="U63" s="16">
        <f>732+881</f>
        <v>1613</v>
      </c>
      <c r="V63" s="16">
        <v>501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0">
        <v>0</v>
      </c>
      <c r="AM63" s="19" t="str">
        <f t="shared" si="49"/>
        <v>ND</v>
      </c>
      <c r="AN63" s="26" t="str">
        <f t="shared" si="50"/>
        <v>ND</v>
      </c>
      <c r="AO63" s="26" t="str">
        <f t="shared" si="51"/>
        <v>ND</v>
      </c>
      <c r="AP63" s="26" t="str">
        <f t="shared" si="52"/>
        <v>ND</v>
      </c>
      <c r="AQ63" s="26" t="str">
        <f t="shared" si="53"/>
        <v>ND</v>
      </c>
      <c r="AR63" s="26" t="str">
        <f t="shared" si="54"/>
        <v>ND</v>
      </c>
      <c r="AS63" s="26" t="str">
        <f t="shared" si="55"/>
        <v>ND</v>
      </c>
      <c r="AT63" s="26" t="str">
        <f t="shared" si="56"/>
        <v>ND</v>
      </c>
      <c r="AU63" s="26" t="str">
        <f t="shared" si="57"/>
        <v>ND</v>
      </c>
      <c r="AV63" s="26">
        <f t="shared" si="58"/>
        <v>43.47287397247754</v>
      </c>
      <c r="AW63" s="26">
        <f t="shared" si="59"/>
        <v>58.389696709808206</v>
      </c>
      <c r="AX63" s="26" t="str">
        <f t="shared" si="60"/>
        <v>ND</v>
      </c>
      <c r="AY63" s="26" t="str">
        <f t="shared" si="61"/>
        <v>ND</v>
      </c>
      <c r="AZ63" s="26" t="str">
        <f t="shared" si="62"/>
        <v>ND</v>
      </c>
      <c r="BA63" s="26" t="str">
        <f t="shared" si="63"/>
        <v>ND</v>
      </c>
      <c r="BB63" s="26" t="str">
        <f t="shared" si="64"/>
        <v>ND</v>
      </c>
      <c r="BC63" s="26">
        <f t="shared" si="65"/>
        <v>105.63714024515154</v>
      </c>
      <c r="BD63" s="26">
        <f t="shared" si="66"/>
        <v>62.681067240063356</v>
      </c>
      <c r="BE63" s="26">
        <f t="shared" si="67"/>
        <v>49.80600976049577</v>
      </c>
      <c r="BF63" s="26">
        <f t="shared" si="68"/>
        <v>12.544771343685856</v>
      </c>
      <c r="BG63" s="26" t="str">
        <f t="shared" si="69"/>
        <v>ND</v>
      </c>
      <c r="BH63" s="26" t="str">
        <f t="shared" si="70"/>
        <v>ND</v>
      </c>
      <c r="BI63" s="26" t="str">
        <f t="shared" si="71"/>
        <v>ND</v>
      </c>
      <c r="BJ63" s="26" t="str">
        <f t="shared" si="72"/>
        <v>ND</v>
      </c>
      <c r="BK63" s="26" t="str">
        <f t="shared" si="73"/>
        <v>ND</v>
      </c>
      <c r="BL63" s="26" t="str">
        <f t="shared" si="74"/>
        <v>ND</v>
      </c>
      <c r="BM63" s="26" t="str">
        <f t="shared" si="75"/>
        <v>ND</v>
      </c>
      <c r="BN63" s="26" t="str">
        <f t="shared" si="76"/>
        <v>ND</v>
      </c>
      <c r="BO63" s="13"/>
      <c r="BV63" s="31">
        <f t="shared" si="77"/>
        <v>96.05930864168067</v>
      </c>
      <c r="BW63" s="13"/>
    </row>
    <row r="64" spans="1:75" ht="15">
      <c r="A64" s="4" t="s">
        <v>18</v>
      </c>
      <c r="B64" s="10">
        <f t="shared" si="48"/>
        <v>5</v>
      </c>
      <c r="C64" s="10">
        <f>165+64+33</f>
        <v>262</v>
      </c>
      <c r="D64" s="16">
        <f>165+64+33</f>
        <v>262</v>
      </c>
      <c r="E64" s="16">
        <v>49.2</v>
      </c>
      <c r="F64" s="13"/>
      <c r="G64" s="16">
        <v>300.7</v>
      </c>
      <c r="H64" s="16">
        <f>67+132</f>
        <v>199</v>
      </c>
      <c r="I64" s="16">
        <f>23+27.5</f>
        <v>50.5</v>
      </c>
      <c r="J64" s="16">
        <f>129.9+45.2</f>
        <v>175.10000000000002</v>
      </c>
      <c r="K64" s="16">
        <f>29.5+47.7</f>
        <v>77.2</v>
      </c>
      <c r="L64" s="16">
        <v>743.6</v>
      </c>
      <c r="M64" s="16">
        <f>28.6+2018.2</f>
        <v>2046.8</v>
      </c>
      <c r="N64" s="16">
        <f>34.8+21.4+171</f>
        <v>227.2</v>
      </c>
      <c r="O64" s="16">
        <f>314+233.6</f>
        <v>547.6</v>
      </c>
      <c r="P64" s="16">
        <f>96.3+16.1+359.7</f>
        <v>472.1</v>
      </c>
      <c r="Q64" s="16">
        <v>326.4</v>
      </c>
      <c r="R64" s="16">
        <f>230.5+58.4</f>
        <v>288.9</v>
      </c>
      <c r="S64" s="16">
        <f>46+1389.9+36.5</f>
        <v>1472.4</v>
      </c>
      <c r="T64" s="16">
        <f>107.9+9.7</f>
        <v>117.60000000000001</v>
      </c>
      <c r="U64" s="16">
        <f>41.4+106.8</f>
        <v>148.2</v>
      </c>
      <c r="V64" s="16">
        <v>194.1</v>
      </c>
      <c r="W64" s="16">
        <f>284.6+95.4</f>
        <v>380</v>
      </c>
      <c r="X64" s="16">
        <v>238.7</v>
      </c>
      <c r="Y64" s="16">
        <v>75.5</v>
      </c>
      <c r="Z64" s="16">
        <f>112.4+61.9</f>
        <v>174.3</v>
      </c>
      <c r="AA64" s="16">
        <f>11.2+60.4</f>
        <v>71.6</v>
      </c>
      <c r="AB64" s="16">
        <v>49.2</v>
      </c>
      <c r="AC64" s="16">
        <v>58</v>
      </c>
      <c r="AD64" s="16">
        <f>11.4+75.3</f>
        <v>86.7</v>
      </c>
      <c r="AE64" s="13"/>
      <c r="AF64" s="13"/>
      <c r="AG64" s="13"/>
      <c r="AH64" s="13"/>
      <c r="AI64" s="13"/>
      <c r="AJ64" s="13"/>
      <c r="AK64" s="13"/>
      <c r="AL64" s="10">
        <v>18.6</v>
      </c>
      <c r="AM64" s="19">
        <f t="shared" si="49"/>
        <v>6.099502711353</v>
      </c>
      <c r="AN64" s="26">
        <f t="shared" si="50"/>
        <v>6.099502711353</v>
      </c>
      <c r="AO64" s="26">
        <f t="shared" si="51"/>
        <v>0.9940745360985498</v>
      </c>
      <c r="AP64" s="26" t="str">
        <f t="shared" si="52"/>
        <v>ND</v>
      </c>
      <c r="AQ64" s="26">
        <f t="shared" si="53"/>
        <v>13.091896668225996</v>
      </c>
      <c r="AR64" s="26">
        <f t="shared" si="54"/>
        <v>8.409674202042423</v>
      </c>
      <c r="AS64" s="26">
        <f t="shared" si="55"/>
        <v>1.4804378011925179</v>
      </c>
      <c r="AT64" s="26">
        <f t="shared" si="56"/>
        <v>7.262962880458592</v>
      </c>
      <c r="AU64" s="26">
        <f t="shared" si="57"/>
        <v>2.719550318178105</v>
      </c>
      <c r="AV64" s="26">
        <f t="shared" si="58"/>
        <v>34.15456613572412</v>
      </c>
      <c r="AW64" s="26">
        <f t="shared" si="59"/>
        <v>82.36037475960289</v>
      </c>
      <c r="AX64" s="26">
        <f t="shared" si="60"/>
        <v>9.680856593378033</v>
      </c>
      <c r="AY64" s="26">
        <f t="shared" si="61"/>
        <v>24.550206797205078</v>
      </c>
      <c r="AZ64" s="26">
        <f t="shared" si="62"/>
        <v>21.046349305354447</v>
      </c>
      <c r="BA64" s="26">
        <f t="shared" si="63"/>
        <v>12.49902541712147</v>
      </c>
      <c r="BB64" s="26">
        <f t="shared" si="64"/>
        <v>15.965439519158522</v>
      </c>
      <c r="BC64" s="26">
        <f t="shared" si="65"/>
        <v>55.56268975701929</v>
      </c>
      <c r="BD64" s="26">
        <f t="shared" si="66"/>
        <v>3.3853931569919653</v>
      </c>
      <c r="BE64" s="26">
        <f t="shared" si="67"/>
        <v>4.0017723899319595</v>
      </c>
      <c r="BF64" s="26">
        <f t="shared" si="68"/>
        <v>4.394425889854028</v>
      </c>
      <c r="BG64" s="26">
        <f t="shared" si="69"/>
        <v>15.697571133148326</v>
      </c>
      <c r="BH64" s="26">
        <f t="shared" si="70"/>
        <v>6.494022828806375</v>
      </c>
      <c r="BI64" s="26">
        <f t="shared" si="71"/>
        <v>2.640655513725839</v>
      </c>
      <c r="BJ64" s="26">
        <f t="shared" si="72"/>
        <v>7.781669445477336</v>
      </c>
      <c r="BK64" s="26">
        <f t="shared" si="73"/>
        <v>3.1186652112895676</v>
      </c>
      <c r="BL64" s="26">
        <f t="shared" si="74"/>
        <v>1.535497272171533</v>
      </c>
      <c r="BM64" s="26">
        <f t="shared" si="75"/>
        <v>2.3271857826668363</v>
      </c>
      <c r="BN64" s="26">
        <f t="shared" si="76"/>
        <v>2.7653789178231714</v>
      </c>
      <c r="BO64" s="13"/>
      <c r="BV64" s="31">
        <f t="shared" si="77"/>
        <v>93.7878783526127</v>
      </c>
      <c r="BW64" s="13"/>
    </row>
    <row r="65" spans="1:75" ht="15">
      <c r="A65" s="4" t="s">
        <v>19</v>
      </c>
      <c r="B65" s="10">
        <f t="shared" si="48"/>
        <v>10</v>
      </c>
      <c r="C65" s="10">
        <f>348+144+81</f>
        <v>573</v>
      </c>
      <c r="D65" s="16">
        <f>348+144+81</f>
        <v>573</v>
      </c>
      <c r="E65" s="16">
        <v>89.7</v>
      </c>
      <c r="F65" s="13"/>
      <c r="G65" s="16">
        <v>667.6</v>
      </c>
      <c r="H65" s="16">
        <f>146+277</f>
        <v>423</v>
      </c>
      <c r="I65" s="16">
        <f>56.2+33.6</f>
        <v>89.80000000000001</v>
      </c>
      <c r="J65" s="16">
        <f>43.5+140.1</f>
        <v>183.6</v>
      </c>
      <c r="K65" s="16">
        <f>57.3+109.1</f>
        <v>166.39999999999998</v>
      </c>
      <c r="L65" s="16">
        <v>1562.6</v>
      </c>
      <c r="M65" s="16">
        <f>55+5084.1</f>
        <v>5139.1</v>
      </c>
      <c r="N65" s="16">
        <f>68.5+52.1+363.1</f>
        <v>483.70000000000005</v>
      </c>
      <c r="O65" s="16">
        <f>655+538.7</f>
        <v>1193.7</v>
      </c>
      <c r="P65" s="16">
        <f>204.6+36.3+850.2</f>
        <v>1091.1</v>
      </c>
      <c r="Q65" s="16">
        <v>860.7</v>
      </c>
      <c r="R65" s="16">
        <f>516.2+106.6</f>
        <v>622.8000000000001</v>
      </c>
      <c r="S65" s="16">
        <f>68.6+3427.2+98</f>
        <v>3593.7999999999997</v>
      </c>
      <c r="T65" s="16">
        <f>255.5+21.1</f>
        <v>276.6</v>
      </c>
      <c r="U65" s="16">
        <f>94.8+277.7</f>
        <v>372.5</v>
      </c>
      <c r="V65" s="16">
        <v>556.8</v>
      </c>
      <c r="W65" s="16">
        <f>561.8+203.2</f>
        <v>765</v>
      </c>
      <c r="X65" s="16">
        <v>621.4</v>
      </c>
      <c r="Y65" s="16">
        <v>151.8</v>
      </c>
      <c r="Z65" s="16">
        <f>263.3+131.2</f>
        <v>394.5</v>
      </c>
      <c r="AA65" s="16">
        <v>133.2</v>
      </c>
      <c r="AB65" s="16">
        <v>129.2</v>
      </c>
      <c r="AC65" s="16">
        <v>120.3</v>
      </c>
      <c r="AD65" s="16">
        <v>155.9</v>
      </c>
      <c r="AE65" s="13"/>
      <c r="AF65" s="13"/>
      <c r="AG65" s="13"/>
      <c r="AH65" s="13"/>
      <c r="AI65" s="13"/>
      <c r="AJ65" s="13"/>
      <c r="AK65" s="13"/>
      <c r="AL65" s="10">
        <v>50.6</v>
      </c>
      <c r="AM65" s="19">
        <f t="shared" si="49"/>
        <v>13.091126608096989</v>
      </c>
      <c r="AN65" s="26">
        <f t="shared" si="50"/>
        <v>13.091126608096989</v>
      </c>
      <c r="AO65" s="26">
        <f t="shared" si="51"/>
        <v>1.2702063516814803</v>
      </c>
      <c r="AP65" s="26" t="str">
        <f t="shared" si="52"/>
        <v>ND</v>
      </c>
      <c r="AQ65" s="26">
        <f t="shared" si="53"/>
        <v>28.634173145322368</v>
      </c>
      <c r="AR65" s="26">
        <f t="shared" si="54"/>
        <v>17.360103507985574</v>
      </c>
      <c r="AS65" s="26">
        <f t="shared" si="55"/>
        <v>1.8192213732522482</v>
      </c>
      <c r="AT65" s="26">
        <f t="shared" si="56"/>
        <v>6.172358230677269</v>
      </c>
      <c r="AU65" s="26">
        <f t="shared" si="57"/>
        <v>5.374128444454343</v>
      </c>
      <c r="AV65" s="26">
        <f t="shared" si="58"/>
        <v>71.22993654788257</v>
      </c>
      <c r="AW65" s="26">
        <f t="shared" si="59"/>
        <v>206.63187405790322</v>
      </c>
      <c r="AX65" s="26">
        <f t="shared" si="60"/>
        <v>20.09961165192726</v>
      </c>
      <c r="AY65" s="26">
        <f t="shared" si="61"/>
        <v>53.049794687873586</v>
      </c>
      <c r="AZ65" s="26">
        <f t="shared" si="62"/>
        <v>48.288261195636835</v>
      </c>
      <c r="BA65" s="26">
        <f t="shared" si="63"/>
        <v>32.89623291231353</v>
      </c>
      <c r="BB65" s="26">
        <f t="shared" si="64"/>
        <v>33.797352914770656</v>
      </c>
      <c r="BC65" s="26">
        <f t="shared" si="65"/>
        <v>135.4173354980539</v>
      </c>
      <c r="BD65" s="26">
        <f t="shared" si="66"/>
        <v>7.728271247274588</v>
      </c>
      <c r="BE65" s="26">
        <f t="shared" si="67"/>
        <v>9.93958744073378</v>
      </c>
      <c r="BF65" s="26">
        <f t="shared" si="68"/>
        <v>12.674976555237086</v>
      </c>
      <c r="BG65" s="26">
        <f t="shared" si="69"/>
        <v>31.030284497844946</v>
      </c>
      <c r="BH65" s="26">
        <f t="shared" si="70"/>
        <v>16.841382238449242</v>
      </c>
      <c r="BI65" s="26">
        <f t="shared" si="71"/>
        <v>4.696561300334885</v>
      </c>
      <c r="BJ65" s="26">
        <f t="shared" si="72"/>
        <v>17.187643688501318</v>
      </c>
      <c r="BK65" s="26">
        <f t="shared" si="73"/>
        <v>4.860410310424873</v>
      </c>
      <c r="BL65" s="26">
        <f t="shared" si="74"/>
        <v>3.9441204442053097</v>
      </c>
      <c r="BM65" s="26">
        <f t="shared" si="75"/>
        <v>4.116874341418235</v>
      </c>
      <c r="BN65" s="26">
        <f t="shared" si="76"/>
        <v>4.275982379541556</v>
      </c>
      <c r="BO65" s="13"/>
      <c r="BV65" s="31">
        <f t="shared" si="77"/>
        <v>205.26289650486862</v>
      </c>
      <c r="BW65" s="13"/>
    </row>
    <row r="66" spans="1:75" ht="15">
      <c r="A66" s="4" t="s">
        <v>20</v>
      </c>
      <c r="B66" s="10">
        <f t="shared" si="48"/>
        <v>100</v>
      </c>
      <c r="C66" s="10">
        <v>162</v>
      </c>
      <c r="D66" s="16">
        <v>162</v>
      </c>
      <c r="E66" s="13"/>
      <c r="F66" s="13"/>
      <c r="G66" s="16">
        <v>251.5</v>
      </c>
      <c r="H66" s="16">
        <v>129</v>
      </c>
      <c r="I66" s="13"/>
      <c r="J66" s="16">
        <v>0</v>
      </c>
      <c r="K66" s="13"/>
      <c r="L66" s="16">
        <v>646.2</v>
      </c>
      <c r="M66" s="16">
        <v>2178.1</v>
      </c>
      <c r="N66" s="16">
        <v>162</v>
      </c>
      <c r="O66" s="16">
        <f>203.1+188.4</f>
        <v>391.5</v>
      </c>
      <c r="P66" s="16">
        <f>69.3+281</f>
        <v>350.3</v>
      </c>
      <c r="Q66" s="16">
        <v>374.5</v>
      </c>
      <c r="R66" s="16">
        <v>200.2</v>
      </c>
      <c r="S66" s="16">
        <v>1234.3</v>
      </c>
      <c r="T66" s="16">
        <v>64.1</v>
      </c>
      <c r="U66" s="16">
        <f>30.2+90.5</f>
        <v>120.7</v>
      </c>
      <c r="V66" s="16">
        <v>164.4</v>
      </c>
      <c r="W66" s="16">
        <v>244.1</v>
      </c>
      <c r="X66" s="16">
        <v>313.5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>
        <v>0</v>
      </c>
      <c r="AM66" s="19">
        <f t="shared" si="49"/>
        <v>4.059652585206187</v>
      </c>
      <c r="AN66" s="26">
        <f t="shared" si="50"/>
        <v>4.059652585206187</v>
      </c>
      <c r="AO66" s="26" t="str">
        <f t="shared" si="51"/>
        <v>ND</v>
      </c>
      <c r="AP66" s="26" t="str">
        <f t="shared" si="52"/>
        <v>ND</v>
      </c>
      <c r="AQ66" s="26">
        <f t="shared" si="53"/>
        <v>11.671790188085213</v>
      </c>
      <c r="AR66" s="26">
        <f t="shared" si="54"/>
        <v>6.013569689930557</v>
      </c>
      <c r="AS66" s="26" t="str">
        <f t="shared" si="55"/>
        <v>ND</v>
      </c>
      <c r="AT66" s="26" t="str">
        <f t="shared" si="56"/>
        <v>ND</v>
      </c>
      <c r="AU66" s="26" t="str">
        <f t="shared" si="57"/>
        <v>ND</v>
      </c>
      <c r="AV66" s="26">
        <f t="shared" si="58"/>
        <v>30.442318119868865</v>
      </c>
      <c r="AW66" s="26">
        <f t="shared" si="59"/>
        <v>88.44745698840896</v>
      </c>
      <c r="AX66" s="26">
        <f t="shared" si="60"/>
        <v>7.518210777215922</v>
      </c>
      <c r="AY66" s="26">
        <f t="shared" si="61"/>
        <v>18.169009378271813</v>
      </c>
      <c r="AZ66" s="26">
        <f t="shared" si="62"/>
        <v>16.256970588016898</v>
      </c>
      <c r="BA66" s="26">
        <f t="shared" si="63"/>
        <v>15.20755366703051</v>
      </c>
      <c r="BB66" s="26">
        <f t="shared" si="64"/>
        <v>11.82493892613961</v>
      </c>
      <c r="BC66" s="26">
        <f t="shared" si="65"/>
        <v>47.173633214396</v>
      </c>
      <c r="BD66" s="26">
        <f t="shared" si="66"/>
        <v>2.1919565794261104</v>
      </c>
      <c r="BE66" s="26">
        <f t="shared" si="67"/>
        <v>3.7269593168579287</v>
      </c>
      <c r="BF66" s="26">
        <f t="shared" si="68"/>
        <v>4.11648784211967</v>
      </c>
      <c r="BG66" s="26">
        <f t="shared" si="69"/>
        <v>10.602593009412026</v>
      </c>
      <c r="BH66" s="26">
        <f t="shared" si="70"/>
        <v>9.249778086464328</v>
      </c>
      <c r="BI66" s="26" t="str">
        <f t="shared" si="71"/>
        <v>ND</v>
      </c>
      <c r="BJ66" s="26" t="str">
        <f t="shared" si="72"/>
        <v>ND</v>
      </c>
      <c r="BK66" s="26" t="str">
        <f t="shared" si="73"/>
        <v>ND</v>
      </c>
      <c r="BL66" s="26" t="str">
        <f t="shared" si="74"/>
        <v>ND</v>
      </c>
      <c r="BM66" s="26" t="str">
        <f t="shared" si="75"/>
        <v>ND</v>
      </c>
      <c r="BN66" s="26" t="str">
        <f t="shared" si="76"/>
        <v>ND</v>
      </c>
      <c r="BO66" s="13"/>
      <c r="BV66" s="31">
        <f t="shared" si="77"/>
        <v>69.45818785774196</v>
      </c>
      <c r="BW66" s="13"/>
    </row>
    <row r="67" spans="1:75" ht="15">
      <c r="A67" s="4" t="s">
        <v>21</v>
      </c>
      <c r="B67" s="10">
        <f t="shared" si="48"/>
        <v>5</v>
      </c>
      <c r="C67" s="10">
        <f>30+12+3.7</f>
        <v>45.7</v>
      </c>
      <c r="D67" s="16">
        <f>30+12+3.7</f>
        <v>45.7</v>
      </c>
      <c r="E67" s="16">
        <v>6.5</v>
      </c>
      <c r="F67" s="13"/>
      <c r="G67" s="16">
        <v>54.6</v>
      </c>
      <c r="H67" s="16">
        <f>8.8+24</f>
        <v>32.8</v>
      </c>
      <c r="I67" s="16">
        <f>2.6+1.3</f>
        <v>3.9000000000000004</v>
      </c>
      <c r="J67" s="16">
        <f>5.7+4.6</f>
        <v>10.3</v>
      </c>
      <c r="K67" s="16">
        <f>1.3+5.8</f>
        <v>7.1</v>
      </c>
      <c r="L67" s="16">
        <v>108.3</v>
      </c>
      <c r="M67" s="16">
        <f>3+375</f>
        <v>378</v>
      </c>
      <c r="N67" s="16">
        <f>2.7+3.2+27.7</f>
        <v>33.6</v>
      </c>
      <c r="O67" s="16">
        <f>34.4+36.9</f>
        <v>71.3</v>
      </c>
      <c r="P67" s="16">
        <f>11+2.4+71.5</f>
        <v>84.9</v>
      </c>
      <c r="Q67" s="16">
        <v>81.68</v>
      </c>
      <c r="R67" s="16">
        <f>37.8+8.4</f>
        <v>46.199999999999996</v>
      </c>
      <c r="S67" s="16">
        <f>5.8+264.7+1.4</f>
        <v>271.9</v>
      </c>
      <c r="T67" s="16">
        <v>5.4</v>
      </c>
      <c r="U67" s="16">
        <f>4.5+15.2</f>
        <v>19.7</v>
      </c>
      <c r="V67" s="16">
        <v>29.2</v>
      </c>
      <c r="W67" s="16">
        <f>51.58+25.49</f>
        <v>77.07</v>
      </c>
      <c r="X67" s="16">
        <v>43.4</v>
      </c>
      <c r="Y67" s="16">
        <v>20</v>
      </c>
      <c r="Z67" s="16">
        <f>18+12.4</f>
        <v>30.4</v>
      </c>
      <c r="AA67" s="16">
        <v>12.5</v>
      </c>
      <c r="AB67" s="16">
        <f>2.17+20.24</f>
        <v>22.409999999999997</v>
      </c>
      <c r="AC67" s="16">
        <v>14.6</v>
      </c>
      <c r="AD67" s="16">
        <v>11.2</v>
      </c>
      <c r="AE67" s="13"/>
      <c r="AF67" s="13"/>
      <c r="AG67" s="13"/>
      <c r="AH67" s="13"/>
      <c r="AI67" s="13"/>
      <c r="AJ67" s="13"/>
      <c r="AK67" s="13"/>
      <c r="AL67" s="10">
        <v>0</v>
      </c>
      <c r="AM67" s="19">
        <f t="shared" si="49"/>
        <v>1.1452229823698936</v>
      </c>
      <c r="AN67" s="26">
        <f t="shared" si="50"/>
        <v>1.1452229823698936</v>
      </c>
      <c r="AO67" s="26">
        <f t="shared" si="51"/>
        <v>0.21115962368106447</v>
      </c>
      <c r="AP67" s="26" t="str">
        <f t="shared" si="52"/>
        <v>ND</v>
      </c>
      <c r="AQ67" s="26">
        <f t="shared" si="53"/>
        <v>2.533915484172774</v>
      </c>
      <c r="AR67" s="26">
        <f t="shared" si="54"/>
        <v>1.529031673098622</v>
      </c>
      <c r="AS67" s="26">
        <f t="shared" si="55"/>
        <v>0.18099396315519814</v>
      </c>
      <c r="AT67" s="26">
        <f t="shared" si="56"/>
        <v>0.4780096975637284</v>
      </c>
      <c r="AU67" s="26">
        <f t="shared" si="57"/>
        <v>0.32950183035946323</v>
      </c>
      <c r="AV67" s="26">
        <f t="shared" si="58"/>
        <v>5.101985534481272</v>
      </c>
      <c r="AW67" s="26">
        <f t="shared" si="59"/>
        <v>15.349680336815842</v>
      </c>
      <c r="AX67" s="26">
        <f t="shared" si="60"/>
        <v>1.5593326056447838</v>
      </c>
      <c r="AY67" s="26">
        <f t="shared" si="61"/>
        <v>3.308940916145032</v>
      </c>
      <c r="AZ67" s="26">
        <f t="shared" si="62"/>
        <v>3.9400993517631595</v>
      </c>
      <c r="BA67" s="26">
        <f t="shared" si="63"/>
        <v>3.3168303965902597</v>
      </c>
      <c r="BB67" s="26">
        <f t="shared" si="64"/>
        <v>2.7288320598783713</v>
      </c>
      <c r="BC67" s="26">
        <f t="shared" si="65"/>
        <v>10.391728810657273</v>
      </c>
      <c r="BD67" s="26">
        <f t="shared" si="66"/>
        <v>0.1846578085631981</v>
      </c>
      <c r="BE67" s="26">
        <f t="shared" si="67"/>
        <v>0.6082941055683612</v>
      </c>
      <c r="BF67" s="26">
        <f t="shared" si="68"/>
        <v>0.7311523417876786</v>
      </c>
      <c r="BG67" s="26">
        <f t="shared" si="69"/>
        <v>3.3475700255443868</v>
      </c>
      <c r="BH67" s="26">
        <f t="shared" si="70"/>
        <v>1.2805115437082992</v>
      </c>
      <c r="BI67" s="26">
        <f t="shared" si="71"/>
        <v>0.928174170026657</v>
      </c>
      <c r="BJ67" s="26">
        <f t="shared" si="72"/>
        <v>1.5193497183205584</v>
      </c>
      <c r="BK67" s="26">
        <f t="shared" si="73"/>
        <v>0.7355342479456528</v>
      </c>
      <c r="BL67" s="26">
        <f t="shared" si="74"/>
        <v>1.1245259434432695</v>
      </c>
      <c r="BM67" s="26">
        <f t="shared" si="75"/>
        <v>0.8623581834247668</v>
      </c>
      <c r="BN67" s="26">
        <f t="shared" si="76"/>
        <v>0.454805343313062</v>
      </c>
      <c r="BO67" s="13"/>
      <c r="BV67" s="31">
        <f t="shared" si="77"/>
        <v>17.005794433766855</v>
      </c>
      <c r="BW67" s="13"/>
    </row>
    <row r="68" spans="1:75" ht="15">
      <c r="A68" s="4" t="s">
        <v>22</v>
      </c>
      <c r="B68" s="10">
        <f t="shared" si="48"/>
        <v>2</v>
      </c>
      <c r="C68" s="10">
        <f>5.7+2.6</f>
        <v>8.3</v>
      </c>
      <c r="D68" s="16">
        <f>5.7+2.6</f>
        <v>8.3</v>
      </c>
      <c r="E68" s="16">
        <v>1.6</v>
      </c>
      <c r="F68" s="13"/>
      <c r="G68" s="16">
        <v>5.5</v>
      </c>
      <c r="H68" s="16">
        <f>1.7+3</f>
        <v>4.7</v>
      </c>
      <c r="I68" s="16">
        <f>0.7+0.4</f>
        <v>1.1</v>
      </c>
      <c r="J68" s="16">
        <v>4</v>
      </c>
      <c r="K68" s="16">
        <v>1.1</v>
      </c>
      <c r="L68" s="16">
        <v>25.2</v>
      </c>
      <c r="M68" s="16">
        <f>0.7+39.4</f>
        <v>40.1</v>
      </c>
      <c r="N68" s="16">
        <f>0.8+5.5</f>
        <v>6.3</v>
      </c>
      <c r="O68" s="16">
        <f>5+5.6</f>
        <v>10.6</v>
      </c>
      <c r="P68" s="16">
        <f>1.9+0.4+11.1</f>
        <v>13.399999999999999</v>
      </c>
      <c r="Q68" s="16">
        <v>14.21</v>
      </c>
      <c r="R68" s="16">
        <f>7.9+1.3</f>
        <v>9.200000000000001</v>
      </c>
      <c r="S68" s="16">
        <f>1.9+44.8</f>
        <v>46.699999999999996</v>
      </c>
      <c r="T68" s="16">
        <v>1</v>
      </c>
      <c r="U68" s="16">
        <f>1+2.8</f>
        <v>3.8</v>
      </c>
      <c r="V68" s="16">
        <v>5.7</v>
      </c>
      <c r="W68" s="16">
        <f>4.97+5.29</f>
        <v>10.26</v>
      </c>
      <c r="X68" s="16">
        <v>8.5</v>
      </c>
      <c r="Y68" s="16">
        <v>2.7</v>
      </c>
      <c r="Z68" s="16">
        <f>3.3+1.4</f>
        <v>4.699999999999999</v>
      </c>
      <c r="AA68" s="16">
        <v>2.2</v>
      </c>
      <c r="AB68" s="16">
        <v>1.1</v>
      </c>
      <c r="AC68" s="16">
        <v>2</v>
      </c>
      <c r="AD68" s="16">
        <v>2.3</v>
      </c>
      <c r="AE68" s="13"/>
      <c r="AF68" s="13"/>
      <c r="AG68" s="13"/>
      <c r="AH68" s="13"/>
      <c r="AI68" s="13"/>
      <c r="AJ68" s="13"/>
      <c r="AK68" s="13"/>
      <c r="AL68" s="10">
        <v>0</v>
      </c>
      <c r="AM68" s="19">
        <f t="shared" si="49"/>
        <v>0.20799454603216885</v>
      </c>
      <c r="AN68" s="26">
        <f t="shared" si="50"/>
        <v>0.20799454603216885</v>
      </c>
      <c r="AO68" s="26">
        <f t="shared" si="51"/>
        <v>0.0519777535214928</v>
      </c>
      <c r="AP68" s="26" t="str">
        <f t="shared" si="52"/>
        <v>ND</v>
      </c>
      <c r="AQ68" s="26">
        <f t="shared" si="53"/>
        <v>0.2552478967573307</v>
      </c>
      <c r="AR68" s="26">
        <f t="shared" si="54"/>
        <v>0.21909905071840013</v>
      </c>
      <c r="AS68" s="26">
        <f t="shared" si="55"/>
        <v>0.05104957935146614</v>
      </c>
      <c r="AT68" s="26">
        <f t="shared" si="56"/>
        <v>0.1856348340053314</v>
      </c>
      <c r="AU68" s="26">
        <f t="shared" si="57"/>
        <v>0.05104957935146614</v>
      </c>
      <c r="AV68" s="26">
        <f t="shared" si="58"/>
        <v>1.1871656091313763</v>
      </c>
      <c r="AW68" s="26">
        <f t="shared" si="59"/>
        <v>1.6283655595405166</v>
      </c>
      <c r="AX68" s="26">
        <f t="shared" si="60"/>
        <v>0.292374863558397</v>
      </c>
      <c r="AY68" s="26">
        <f t="shared" si="61"/>
        <v>0.4919323101141282</v>
      </c>
      <c r="AZ68" s="26">
        <f t="shared" si="62"/>
        <v>0.6218766939178602</v>
      </c>
      <c r="BA68" s="26">
        <f t="shared" si="63"/>
        <v>0.5770342793284474</v>
      </c>
      <c r="BB68" s="26">
        <f t="shared" si="64"/>
        <v>0.5434037868156065</v>
      </c>
      <c r="BC68" s="26">
        <f t="shared" si="65"/>
        <v>1.7848243304806717</v>
      </c>
      <c r="BD68" s="26">
        <f t="shared" si="66"/>
        <v>0.03419589047466631</v>
      </c>
      <c r="BE68" s="26">
        <f t="shared" si="67"/>
        <v>0.11733591884059759</v>
      </c>
      <c r="BF68" s="26">
        <f t="shared" si="68"/>
        <v>0.14272494343115646</v>
      </c>
      <c r="BG68" s="26">
        <f t="shared" si="69"/>
        <v>0.44564770289458167</v>
      </c>
      <c r="BH68" s="26">
        <f t="shared" si="70"/>
        <v>0.2507914313714411</v>
      </c>
      <c r="BI68" s="26">
        <f t="shared" si="71"/>
        <v>0.1253035129535987</v>
      </c>
      <c r="BJ68" s="26">
        <f t="shared" si="72"/>
        <v>0.23489946302982317</v>
      </c>
      <c r="BK68" s="26">
        <f t="shared" si="73"/>
        <v>0.12945402763843492</v>
      </c>
      <c r="BL68" s="26">
        <f t="shared" si="74"/>
        <v>0.055197614359107396</v>
      </c>
      <c r="BM68" s="26">
        <f t="shared" si="75"/>
        <v>0.11813125800339272</v>
      </c>
      <c r="BN68" s="26">
        <f t="shared" si="76"/>
        <v>0.09339752585893236</v>
      </c>
      <c r="BO68" s="13"/>
      <c r="BV68" s="31">
        <f t="shared" si="77"/>
        <v>2.897017638439732</v>
      </c>
      <c r="BW68" s="13"/>
    </row>
    <row r="69" spans="1:75" ht="15">
      <c r="A69" s="4" t="s">
        <v>23</v>
      </c>
      <c r="B69" s="10">
        <f t="shared" si="48"/>
        <v>50</v>
      </c>
      <c r="C69" s="11"/>
      <c r="D69" s="13"/>
      <c r="E69" s="13"/>
      <c r="F69" s="13"/>
      <c r="G69" s="16">
        <v>49.2</v>
      </c>
      <c r="H69" s="13"/>
      <c r="I69" s="13"/>
      <c r="J69" s="16">
        <v>0</v>
      </c>
      <c r="K69" s="13"/>
      <c r="L69" s="16">
        <v>97.1</v>
      </c>
      <c r="M69" s="16">
        <v>255.7</v>
      </c>
      <c r="N69" s="13"/>
      <c r="O69" s="13"/>
      <c r="P69" s="16">
        <v>63.6</v>
      </c>
      <c r="Q69" s="13"/>
      <c r="R69" s="13"/>
      <c r="S69" s="16">
        <v>206.6</v>
      </c>
      <c r="T69" s="13"/>
      <c r="U69" s="13"/>
      <c r="V69" s="16">
        <v>40.9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>
        <v>0</v>
      </c>
      <c r="AM69" s="19" t="str">
        <f t="shared" si="49"/>
        <v>ND</v>
      </c>
      <c r="AN69" s="26" t="str">
        <f t="shared" si="50"/>
        <v>ND</v>
      </c>
      <c r="AO69" s="26" t="str">
        <f t="shared" si="51"/>
        <v>ND</v>
      </c>
      <c r="AP69" s="26" t="str">
        <f t="shared" si="52"/>
        <v>ND</v>
      </c>
      <c r="AQ69" s="26">
        <f t="shared" si="53"/>
        <v>2.2833084582655765</v>
      </c>
      <c r="AR69" s="26" t="str">
        <f t="shared" si="54"/>
        <v>ND</v>
      </c>
      <c r="AS69" s="26" t="str">
        <f t="shared" si="55"/>
        <v>ND</v>
      </c>
      <c r="AT69" s="26" t="str">
        <f t="shared" si="56"/>
        <v>ND</v>
      </c>
      <c r="AU69" s="26" t="str">
        <f t="shared" si="57"/>
        <v>ND</v>
      </c>
      <c r="AV69" s="26">
        <f t="shared" si="58"/>
        <v>4.574356374867326</v>
      </c>
      <c r="AW69" s="26">
        <f t="shared" si="59"/>
        <v>10.383368418316959</v>
      </c>
      <c r="AX69" s="26" t="str">
        <f t="shared" si="60"/>
        <v>ND</v>
      </c>
      <c r="AY69" s="26" t="str">
        <f t="shared" si="61"/>
        <v>ND</v>
      </c>
      <c r="AZ69" s="26">
        <f t="shared" si="62"/>
        <v>2.9515938606847696</v>
      </c>
      <c r="BA69" s="26" t="str">
        <f t="shared" si="63"/>
        <v>ND</v>
      </c>
      <c r="BB69" s="26" t="str">
        <f t="shared" si="64"/>
        <v>ND</v>
      </c>
      <c r="BC69" s="26">
        <f t="shared" si="65"/>
        <v>7.896032262897362</v>
      </c>
      <c r="BD69" s="26" t="str">
        <f t="shared" si="66"/>
        <v>ND</v>
      </c>
      <c r="BE69" s="26" t="str">
        <f t="shared" si="67"/>
        <v>ND</v>
      </c>
      <c r="BF69" s="26">
        <f t="shared" si="68"/>
        <v>1.024114067777947</v>
      </c>
      <c r="BG69" s="26" t="str">
        <f t="shared" si="69"/>
        <v>ND</v>
      </c>
      <c r="BH69" s="26" t="str">
        <f t="shared" si="70"/>
        <v>ND</v>
      </c>
      <c r="BI69" s="26" t="str">
        <f t="shared" si="71"/>
        <v>ND</v>
      </c>
      <c r="BJ69" s="26" t="str">
        <f t="shared" si="72"/>
        <v>ND</v>
      </c>
      <c r="BK69" s="26" t="str">
        <f t="shared" si="73"/>
        <v>ND</v>
      </c>
      <c r="BL69" s="26" t="str">
        <f t="shared" si="74"/>
        <v>ND</v>
      </c>
      <c r="BM69" s="26" t="str">
        <f t="shared" si="75"/>
        <v>ND</v>
      </c>
      <c r="BN69" s="26" t="str">
        <f t="shared" si="76"/>
        <v>ND</v>
      </c>
      <c r="BO69" s="13"/>
      <c r="BV69" s="31">
        <f t="shared" si="77"/>
        <v>6.562783520582341</v>
      </c>
      <c r="BW69" s="13"/>
    </row>
    <row r="70" spans="1:75" ht="15">
      <c r="A70" s="4" t="s">
        <v>24</v>
      </c>
      <c r="B70" s="10">
        <f t="shared" si="48"/>
        <v>1</v>
      </c>
      <c r="C70" s="10">
        <v>2</v>
      </c>
      <c r="D70" s="16">
        <v>2</v>
      </c>
      <c r="E70" s="13"/>
      <c r="F70" s="13"/>
      <c r="G70" s="16">
        <v>6.2</v>
      </c>
      <c r="H70" s="16">
        <v>2.1</v>
      </c>
      <c r="I70" s="13"/>
      <c r="J70" s="16">
        <v>0</v>
      </c>
      <c r="K70" s="13"/>
      <c r="L70" s="16">
        <v>16.7</v>
      </c>
      <c r="M70" s="16">
        <v>35</v>
      </c>
      <c r="N70" s="16">
        <v>3.9</v>
      </c>
      <c r="O70" s="16">
        <f>3+3.7</f>
        <v>6.7</v>
      </c>
      <c r="P70" s="16">
        <f>1+9.3</f>
        <v>10.3</v>
      </c>
      <c r="Q70" s="16">
        <v>10.87</v>
      </c>
      <c r="R70" s="16">
        <v>4.4</v>
      </c>
      <c r="S70" s="16">
        <f>0.4+31.7</f>
        <v>32.1</v>
      </c>
      <c r="T70" s="16">
        <v>1.1</v>
      </c>
      <c r="U70" s="16">
        <v>2.5</v>
      </c>
      <c r="V70" s="16">
        <v>5.1</v>
      </c>
      <c r="W70" s="16">
        <v>5.98</v>
      </c>
      <c r="X70" s="16">
        <v>7.3</v>
      </c>
      <c r="Y70" s="16">
        <v>0.9</v>
      </c>
      <c r="Z70" s="16">
        <v>2.6</v>
      </c>
      <c r="AA70" s="16">
        <v>1.3</v>
      </c>
      <c r="AB70" s="13"/>
      <c r="AC70" s="13"/>
      <c r="AD70" s="16">
        <v>1.7</v>
      </c>
      <c r="AE70" s="13"/>
      <c r="AF70" s="13"/>
      <c r="AG70" s="13"/>
      <c r="AH70" s="13"/>
      <c r="AI70" s="13"/>
      <c r="AJ70" s="13"/>
      <c r="AK70" s="13"/>
      <c r="AL70" s="10">
        <v>0</v>
      </c>
      <c r="AM70" s="19">
        <f t="shared" si="49"/>
        <v>0.050119167718594905</v>
      </c>
      <c r="AN70" s="26">
        <f t="shared" si="50"/>
        <v>0.050119167718594905</v>
      </c>
      <c r="AO70" s="26" t="str">
        <f t="shared" si="51"/>
        <v>ND</v>
      </c>
      <c r="AP70" s="26" t="str">
        <f t="shared" si="52"/>
        <v>ND</v>
      </c>
      <c r="AQ70" s="26">
        <f t="shared" si="53"/>
        <v>0.28773399270826366</v>
      </c>
      <c r="AR70" s="26">
        <f t="shared" si="54"/>
        <v>0.09789532053375326</v>
      </c>
      <c r="AS70" s="26" t="str">
        <f t="shared" si="55"/>
        <v>ND</v>
      </c>
      <c r="AT70" s="26" t="str">
        <f t="shared" si="56"/>
        <v>ND</v>
      </c>
      <c r="AU70" s="26" t="str">
        <f t="shared" si="57"/>
        <v>ND</v>
      </c>
      <c r="AV70" s="26">
        <f t="shared" si="58"/>
        <v>0.7867327647815072</v>
      </c>
      <c r="AW70" s="26">
        <f t="shared" si="59"/>
        <v>1.4212666978533188</v>
      </c>
      <c r="AX70" s="26">
        <f t="shared" si="60"/>
        <v>0.1809939631551981</v>
      </c>
      <c r="AY70" s="26">
        <f t="shared" si="61"/>
        <v>0.31093834695893013</v>
      </c>
      <c r="AZ70" s="26">
        <f t="shared" si="62"/>
        <v>0.4780096975637284</v>
      </c>
      <c r="BA70" s="26">
        <f t="shared" si="63"/>
        <v>0.4414048287333021</v>
      </c>
      <c r="BB70" s="26">
        <f t="shared" si="64"/>
        <v>0.259888767607464</v>
      </c>
      <c r="BC70" s="26">
        <f t="shared" si="65"/>
        <v>1.2268278588528816</v>
      </c>
      <c r="BD70" s="26">
        <f t="shared" si="66"/>
        <v>0.03761547952213295</v>
      </c>
      <c r="BE70" s="26">
        <f t="shared" si="67"/>
        <v>0.07719468344776158</v>
      </c>
      <c r="BF70" s="26">
        <f t="shared" si="68"/>
        <v>0.12770126517524524</v>
      </c>
      <c r="BG70" s="26">
        <f t="shared" si="69"/>
        <v>0.25974398277871336</v>
      </c>
      <c r="BH70" s="26">
        <f t="shared" si="70"/>
        <v>0.21538558223664941</v>
      </c>
      <c r="BI70" s="26">
        <f t="shared" si="71"/>
        <v>0.04176783765119957</v>
      </c>
      <c r="BJ70" s="26">
        <f t="shared" si="72"/>
        <v>0.129944383803732</v>
      </c>
      <c r="BK70" s="26">
        <f t="shared" si="73"/>
        <v>0.0764955617863479</v>
      </c>
      <c r="BL70" s="26" t="str">
        <f t="shared" si="74"/>
        <v>ND</v>
      </c>
      <c r="BM70" s="26" t="str">
        <f t="shared" si="75"/>
        <v>ND</v>
      </c>
      <c r="BN70" s="26">
        <f t="shared" si="76"/>
        <v>0.06903295389573262</v>
      </c>
      <c r="BO70" s="13"/>
      <c r="BV70" s="31">
        <f t="shared" si="77"/>
        <v>1.8064614241944632</v>
      </c>
      <c r="BW70" s="13"/>
    </row>
    <row r="71" spans="1:75" ht="15">
      <c r="A71" s="4" t="s">
        <v>25</v>
      </c>
      <c r="B71" s="10">
        <f t="shared" si="48"/>
        <v>1</v>
      </c>
      <c r="C71" s="11"/>
      <c r="D71" s="13"/>
      <c r="E71" s="13"/>
      <c r="F71" s="13"/>
      <c r="G71" s="16">
        <v>1.3</v>
      </c>
      <c r="H71" s="13"/>
      <c r="I71" s="13"/>
      <c r="J71" s="16">
        <v>0</v>
      </c>
      <c r="K71" s="13"/>
      <c r="L71" s="13"/>
      <c r="M71" s="16">
        <v>0</v>
      </c>
      <c r="N71" s="13"/>
      <c r="O71" s="13"/>
      <c r="P71" s="13"/>
      <c r="Q71" s="13"/>
      <c r="R71" s="13"/>
      <c r="S71" s="16">
        <v>10</v>
      </c>
      <c r="T71" s="13"/>
      <c r="U71" s="13"/>
      <c r="V71" s="16">
        <v>2.1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>
        <v>0</v>
      </c>
      <c r="AM71" s="19" t="str">
        <f t="shared" si="49"/>
        <v>ND</v>
      </c>
      <c r="AN71" s="26" t="str">
        <f t="shared" si="50"/>
        <v>ND</v>
      </c>
      <c r="AO71" s="26" t="str">
        <f t="shared" si="51"/>
        <v>ND</v>
      </c>
      <c r="AP71" s="26" t="str">
        <f t="shared" si="52"/>
        <v>ND</v>
      </c>
      <c r="AQ71" s="26">
        <f t="shared" si="53"/>
        <v>0.06033132105173271</v>
      </c>
      <c r="AR71" s="26" t="str">
        <f t="shared" si="54"/>
        <v>ND</v>
      </c>
      <c r="AS71" s="26" t="str">
        <f t="shared" si="55"/>
        <v>ND</v>
      </c>
      <c r="AT71" s="26" t="str">
        <f t="shared" si="56"/>
        <v>ND</v>
      </c>
      <c r="AU71" s="26" t="str">
        <f t="shared" si="57"/>
        <v>ND</v>
      </c>
      <c r="AV71" s="26" t="str">
        <f t="shared" si="58"/>
        <v>ND</v>
      </c>
      <c r="AW71" s="26" t="str">
        <f t="shared" si="59"/>
        <v>ND</v>
      </c>
      <c r="AX71" s="26" t="str">
        <f t="shared" si="60"/>
        <v>ND</v>
      </c>
      <c r="AY71" s="26" t="str">
        <f t="shared" si="61"/>
        <v>ND</v>
      </c>
      <c r="AZ71" s="26" t="str">
        <f t="shared" si="62"/>
        <v>ND</v>
      </c>
      <c r="BA71" s="26" t="str">
        <f t="shared" si="63"/>
        <v>ND</v>
      </c>
      <c r="BB71" s="26" t="str">
        <f t="shared" si="64"/>
        <v>ND</v>
      </c>
      <c r="BC71" s="26">
        <f t="shared" si="65"/>
        <v>0.38218936412862353</v>
      </c>
      <c r="BD71" s="26" t="str">
        <f t="shared" si="66"/>
        <v>ND</v>
      </c>
      <c r="BE71" s="26" t="str">
        <f t="shared" si="67"/>
        <v>ND</v>
      </c>
      <c r="BF71" s="26">
        <f t="shared" si="68"/>
        <v>0.05258287389568922</v>
      </c>
      <c r="BG71" s="26" t="str">
        <f t="shared" si="69"/>
        <v>ND</v>
      </c>
      <c r="BH71" s="26" t="str">
        <f t="shared" si="70"/>
        <v>ND</v>
      </c>
      <c r="BI71" s="26" t="str">
        <f t="shared" si="71"/>
        <v>ND</v>
      </c>
      <c r="BJ71" s="26" t="str">
        <f t="shared" si="72"/>
        <v>ND</v>
      </c>
      <c r="BK71" s="26" t="str">
        <f t="shared" si="73"/>
        <v>ND</v>
      </c>
      <c r="BL71" s="26" t="str">
        <f t="shared" si="74"/>
        <v>ND</v>
      </c>
      <c r="BM71" s="26" t="str">
        <f t="shared" si="75"/>
        <v>ND</v>
      </c>
      <c r="BN71" s="26" t="str">
        <f t="shared" si="76"/>
        <v>ND</v>
      </c>
      <c r="BO71" s="13"/>
      <c r="BV71" s="31">
        <f t="shared" si="77"/>
        <v>0.17348428710024633</v>
      </c>
      <c r="BW71" s="13"/>
    </row>
    <row r="72" spans="1:75" ht="15">
      <c r="A72" s="4" t="s">
        <v>26</v>
      </c>
      <c r="B72" s="10">
        <f t="shared" si="48"/>
        <v>1</v>
      </c>
      <c r="C72" s="10">
        <v>4.4</v>
      </c>
      <c r="D72" s="16">
        <v>4.4</v>
      </c>
      <c r="E72" s="16">
        <v>2.1</v>
      </c>
      <c r="F72" s="13"/>
      <c r="G72" s="16">
        <v>7.4</v>
      </c>
      <c r="H72" s="16">
        <f>3.5+3.8</f>
        <v>7.3</v>
      </c>
      <c r="I72" s="16">
        <f>1.5+1</f>
        <v>2.5</v>
      </c>
      <c r="J72" s="16">
        <f>1.2+0.7</f>
        <v>1.9</v>
      </c>
      <c r="K72" s="16">
        <f>1.2+2.6</f>
        <v>3.8</v>
      </c>
      <c r="L72" s="16">
        <v>35.6</v>
      </c>
      <c r="M72" s="16">
        <f>1.7+218.7</f>
        <v>220.39999999999998</v>
      </c>
      <c r="N72" s="16">
        <f>1.6+2+8.7</f>
        <v>12.299999999999999</v>
      </c>
      <c r="O72" s="16">
        <f>4.9+9.3</f>
        <v>14.200000000000001</v>
      </c>
      <c r="P72" s="16">
        <f>1.8+1.1+26.8</f>
        <v>29.700000000000003</v>
      </c>
      <c r="Q72" s="16">
        <v>36</v>
      </c>
      <c r="R72" s="16">
        <f>12.9+3</f>
        <v>15.9</v>
      </c>
      <c r="S72" s="16">
        <f>1.9+68.3</f>
        <v>70.2</v>
      </c>
      <c r="T72" s="16">
        <v>2</v>
      </c>
      <c r="U72" s="16">
        <f>1.1+5.7</f>
        <v>6.800000000000001</v>
      </c>
      <c r="V72" s="16">
        <v>13.4</v>
      </c>
      <c r="W72" s="16">
        <f>10.71+5.35</f>
        <v>16.060000000000002</v>
      </c>
      <c r="X72" s="16">
        <v>13.7</v>
      </c>
      <c r="Y72" s="16">
        <v>3.1</v>
      </c>
      <c r="Z72" s="16">
        <f>7.2+3.5</f>
        <v>10.7</v>
      </c>
      <c r="AA72" s="16">
        <v>4.6</v>
      </c>
      <c r="AB72" s="16">
        <f>3.17+2.08</f>
        <v>5.25</v>
      </c>
      <c r="AC72" s="16">
        <v>4.8</v>
      </c>
      <c r="AD72" s="16">
        <f>1.3+3.3</f>
        <v>4.6</v>
      </c>
      <c r="AE72" s="13"/>
      <c r="AF72" s="13"/>
      <c r="AG72" s="13"/>
      <c r="AH72" s="13"/>
      <c r="AI72" s="13"/>
      <c r="AJ72" s="13"/>
      <c r="AK72" s="13"/>
      <c r="AL72" s="10">
        <v>1.5</v>
      </c>
      <c r="AM72" s="19">
        <f t="shared" si="49"/>
        <v>0.07267279319196263</v>
      </c>
      <c r="AN72" s="26">
        <f t="shared" si="50"/>
        <v>0.07267279319196263</v>
      </c>
      <c r="AO72" s="26">
        <f t="shared" si="51"/>
        <v>0.019491657570559803</v>
      </c>
      <c r="AP72" s="26" t="str">
        <f t="shared" si="52"/>
        <v>ND</v>
      </c>
      <c r="AQ72" s="26">
        <f t="shared" si="53"/>
        <v>0.2738113801578638</v>
      </c>
      <c r="AR72" s="26">
        <f t="shared" si="54"/>
        <v>0.2703775519503661</v>
      </c>
      <c r="AS72" s="26">
        <f t="shared" si="55"/>
        <v>0.04640870850133285</v>
      </c>
      <c r="AT72" s="26">
        <f t="shared" si="56"/>
        <v>0.018563483400533137</v>
      </c>
      <c r="AU72" s="26">
        <f t="shared" si="57"/>
        <v>0.10674002955306555</v>
      </c>
      <c r="AV72" s="26">
        <f t="shared" si="58"/>
        <v>1.6064423520388862</v>
      </c>
      <c r="AW72" s="26">
        <f t="shared" si="59"/>
        <v>8.889008004574041</v>
      </c>
      <c r="AX72" s="26">
        <f t="shared" si="60"/>
        <v>0.5012140518143947</v>
      </c>
      <c r="AY72" s="26">
        <f t="shared" si="61"/>
        <v>0.5893905979669273</v>
      </c>
      <c r="AZ72" s="26">
        <f t="shared" si="62"/>
        <v>1.3087255797375865</v>
      </c>
      <c r="BA72" s="26">
        <f t="shared" si="63"/>
        <v>1.4009628878839857</v>
      </c>
      <c r="BB72" s="26">
        <f t="shared" si="64"/>
        <v>0.8505450576244276</v>
      </c>
      <c r="BC72" s="26">
        <f t="shared" si="65"/>
        <v>2.6256409315636438</v>
      </c>
      <c r="BD72" s="26">
        <f t="shared" si="66"/>
        <v>0.017097945237333156</v>
      </c>
      <c r="BE72" s="26">
        <f t="shared" si="67"/>
        <v>0.16365272890925456</v>
      </c>
      <c r="BF72" s="26">
        <f t="shared" si="68"/>
        <v>0.29796961874223893</v>
      </c>
      <c r="BG72" s="26">
        <f t="shared" si="69"/>
        <v>0.6324201319829542</v>
      </c>
      <c r="BH72" s="26">
        <f t="shared" si="70"/>
        <v>0.35995946620371544</v>
      </c>
      <c r="BI72" s="26">
        <f t="shared" si="71"/>
        <v>0.07425393360213256</v>
      </c>
      <c r="BJ72" s="26">
        <f t="shared" si="72"/>
        <v>0.45980320422859006</v>
      </c>
      <c r="BK72" s="26">
        <f t="shared" si="73"/>
        <v>0.18241249349052188</v>
      </c>
      <c r="BL72" s="26">
        <f t="shared" si="74"/>
        <v>0.18817368531513884</v>
      </c>
      <c r="BM72" s="26">
        <f t="shared" si="75"/>
        <v>0.19491657570559798</v>
      </c>
      <c r="BN72" s="26">
        <f t="shared" si="76"/>
        <v>0.12588362180986537</v>
      </c>
      <c r="BO72" s="13"/>
      <c r="BV72" s="31">
        <f t="shared" si="77"/>
        <v>4.3405906760512805</v>
      </c>
      <c r="BW72" s="13"/>
    </row>
    <row r="73" spans="1:75" ht="15">
      <c r="A73" s="4" t="s">
        <v>27</v>
      </c>
      <c r="B73" s="10">
        <f t="shared" si="48"/>
        <v>5</v>
      </c>
      <c r="C73" s="11"/>
      <c r="D73" s="13"/>
      <c r="E73" s="13"/>
      <c r="F73" s="13"/>
      <c r="G73" s="13"/>
      <c r="H73" s="13"/>
      <c r="I73" s="13"/>
      <c r="J73" s="16">
        <v>0</v>
      </c>
      <c r="K73" s="13"/>
      <c r="L73" s="13"/>
      <c r="M73" s="16">
        <v>46.2</v>
      </c>
      <c r="N73" s="13"/>
      <c r="O73" s="13"/>
      <c r="P73" s="16">
        <v>3.6</v>
      </c>
      <c r="Q73" s="13"/>
      <c r="R73" s="13"/>
      <c r="S73" s="16">
        <v>9.6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>
        <v>0</v>
      </c>
      <c r="AM73" s="19" t="str">
        <f t="shared" si="49"/>
        <v>ND</v>
      </c>
      <c r="AN73" s="26" t="str">
        <f t="shared" si="50"/>
        <v>ND</v>
      </c>
      <c r="AO73" s="26" t="str">
        <f t="shared" si="51"/>
        <v>ND</v>
      </c>
      <c r="AP73" s="26" t="str">
        <f t="shared" si="52"/>
        <v>ND</v>
      </c>
      <c r="AQ73" s="26" t="str">
        <f t="shared" si="53"/>
        <v>ND</v>
      </c>
      <c r="AR73" s="26" t="str">
        <f t="shared" si="54"/>
        <v>ND</v>
      </c>
      <c r="AS73" s="26" t="str">
        <f t="shared" si="55"/>
        <v>ND</v>
      </c>
      <c r="AT73" s="26" t="str">
        <f t="shared" si="56"/>
        <v>ND</v>
      </c>
      <c r="AU73" s="26" t="str">
        <f t="shared" si="57"/>
        <v>ND</v>
      </c>
      <c r="AV73" s="26" t="str">
        <f t="shared" si="58"/>
        <v>ND</v>
      </c>
      <c r="AW73" s="26">
        <f t="shared" si="59"/>
        <v>1.876072041166381</v>
      </c>
      <c r="AX73" s="26" t="str">
        <f t="shared" si="60"/>
        <v>ND</v>
      </c>
      <c r="AY73" s="26" t="str">
        <f t="shared" si="61"/>
        <v>ND</v>
      </c>
      <c r="AZ73" s="26">
        <f t="shared" si="62"/>
        <v>0.16707135060479827</v>
      </c>
      <c r="BA73" s="26" t="str">
        <f t="shared" si="63"/>
        <v>ND</v>
      </c>
      <c r="BB73" s="26" t="str">
        <f t="shared" si="64"/>
        <v>ND</v>
      </c>
      <c r="BC73" s="26">
        <f t="shared" si="65"/>
        <v>0.3669017895634786</v>
      </c>
      <c r="BD73" s="26" t="str">
        <f t="shared" si="66"/>
        <v>ND</v>
      </c>
      <c r="BE73" s="26" t="str">
        <f t="shared" si="67"/>
        <v>ND</v>
      </c>
      <c r="BF73" s="26" t="str">
        <f t="shared" si="68"/>
        <v>ND</v>
      </c>
      <c r="BG73" s="26" t="str">
        <f t="shared" si="69"/>
        <v>ND</v>
      </c>
      <c r="BH73" s="26" t="str">
        <f t="shared" si="70"/>
        <v>ND</v>
      </c>
      <c r="BI73" s="26" t="str">
        <f t="shared" si="71"/>
        <v>ND</v>
      </c>
      <c r="BJ73" s="26" t="str">
        <f t="shared" si="72"/>
        <v>ND</v>
      </c>
      <c r="BK73" s="26" t="str">
        <f t="shared" si="73"/>
        <v>ND</v>
      </c>
      <c r="BL73" s="26" t="str">
        <f t="shared" si="74"/>
        <v>ND</v>
      </c>
      <c r="BM73" s="26" t="str">
        <f t="shared" si="75"/>
        <v>ND</v>
      </c>
      <c r="BN73" s="26" t="str">
        <f t="shared" si="76"/>
        <v>ND</v>
      </c>
      <c r="BO73" s="13"/>
      <c r="BV73" s="31">
        <f t="shared" si="77"/>
        <v>0.1871041883149642</v>
      </c>
      <c r="BW73" s="13"/>
    </row>
    <row r="74" spans="1:75" ht="15">
      <c r="A74" s="4" t="s">
        <v>28</v>
      </c>
      <c r="B74" s="10">
        <f t="shared" si="48"/>
        <v>0</v>
      </c>
      <c r="C74" s="11"/>
      <c r="D74" s="13"/>
      <c r="E74" s="13"/>
      <c r="F74" s="13"/>
      <c r="G74" s="13"/>
      <c r="H74" s="13"/>
      <c r="I74" s="16">
        <v>2191</v>
      </c>
      <c r="J74" s="16">
        <v>0</v>
      </c>
      <c r="K74" s="16">
        <v>3442</v>
      </c>
      <c r="L74" s="13"/>
      <c r="M74" s="16">
        <v>29690</v>
      </c>
      <c r="N74" s="16">
        <v>3397</v>
      </c>
      <c r="O74" s="16">
        <v>3343</v>
      </c>
      <c r="P74" s="16">
        <f>1481+5871</f>
        <v>7352</v>
      </c>
      <c r="Q74" s="13"/>
      <c r="R74" s="13"/>
      <c r="S74" s="16">
        <v>14680</v>
      </c>
      <c r="T74" s="13"/>
      <c r="U74" s="16">
        <v>6647</v>
      </c>
      <c r="V74" s="13"/>
      <c r="W74" s="13"/>
      <c r="X74" s="13"/>
      <c r="Y74" s="16">
        <v>1753</v>
      </c>
      <c r="Z74" s="13"/>
      <c r="AA74" s="13"/>
      <c r="AB74" s="13"/>
      <c r="AC74" s="16">
        <v>3404</v>
      </c>
      <c r="AD74" s="13"/>
      <c r="AE74" s="13"/>
      <c r="AF74" s="13"/>
      <c r="AG74" s="13"/>
      <c r="AH74" s="13"/>
      <c r="AI74" s="13"/>
      <c r="AJ74" s="13"/>
      <c r="AK74" s="13"/>
      <c r="AL74" s="10">
        <v>0</v>
      </c>
      <c r="AM74" s="19" t="str">
        <f t="shared" si="49"/>
        <v>ND</v>
      </c>
      <c r="AN74" s="26" t="str">
        <f t="shared" si="50"/>
        <v>ND</v>
      </c>
      <c r="AO74" s="26" t="str">
        <f t="shared" si="51"/>
        <v>ND</v>
      </c>
      <c r="AP74" s="26" t="str">
        <f t="shared" si="52"/>
        <v>ND</v>
      </c>
      <c r="AQ74" s="26" t="str">
        <f t="shared" si="53"/>
        <v>ND</v>
      </c>
      <c r="AR74" s="26" t="str">
        <f t="shared" si="54"/>
        <v>ND</v>
      </c>
      <c r="AS74" s="26">
        <f t="shared" si="55"/>
        <v>101.68148032642027</v>
      </c>
      <c r="AT74" s="26" t="str">
        <f t="shared" si="56"/>
        <v>ND</v>
      </c>
      <c r="AU74" s="26">
        <f t="shared" si="57"/>
        <v>159.73877466158768</v>
      </c>
      <c r="AV74" s="26" t="str">
        <f t="shared" si="58"/>
        <v>ND</v>
      </c>
      <c r="AW74" s="26">
        <f t="shared" si="59"/>
        <v>1205.6402359790009</v>
      </c>
      <c r="AX74" s="26">
        <f t="shared" si="60"/>
        <v>157.6503827790277</v>
      </c>
      <c r="AY74" s="26">
        <f t="shared" si="61"/>
        <v>155.14431251995572</v>
      </c>
      <c r="AZ74" s="26">
        <f t="shared" si="62"/>
        <v>341.1968249017991</v>
      </c>
      <c r="BA74" s="26" t="str">
        <f t="shared" si="63"/>
        <v>ND</v>
      </c>
      <c r="BB74" s="26" t="str">
        <f t="shared" si="64"/>
        <v>ND</v>
      </c>
      <c r="BC74" s="26">
        <f t="shared" si="65"/>
        <v>561.0539865408193</v>
      </c>
      <c r="BD74" s="26" t="str">
        <f t="shared" si="66"/>
        <v>ND</v>
      </c>
      <c r="BE74" s="26">
        <f t="shared" si="67"/>
        <v>205.24522435090847</v>
      </c>
      <c r="BF74" s="26" t="str">
        <f t="shared" si="68"/>
        <v>ND</v>
      </c>
      <c r="BG74" s="26" t="str">
        <f t="shared" si="69"/>
        <v>ND</v>
      </c>
      <c r="BH74" s="26" t="str">
        <f t="shared" si="70"/>
        <v>ND</v>
      </c>
      <c r="BI74" s="26">
        <f t="shared" si="71"/>
        <v>81.35446600283649</v>
      </c>
      <c r="BJ74" s="26" t="str">
        <f t="shared" si="72"/>
        <v>ND</v>
      </c>
      <c r="BK74" s="26" t="str">
        <f t="shared" si="73"/>
        <v>ND</v>
      </c>
      <c r="BL74" s="26" t="str">
        <f t="shared" si="74"/>
        <v>ND</v>
      </c>
      <c r="BM74" s="26">
        <f t="shared" si="75"/>
        <v>201.0594011217744</v>
      </c>
      <c r="BN74" s="26" t="str">
        <f t="shared" si="76"/>
        <v>ND</v>
      </c>
      <c r="BO74" s="13"/>
      <c r="BV74" s="31">
        <f t="shared" si="77"/>
        <v>688.2293485630771</v>
      </c>
      <c r="BW74" s="13"/>
    </row>
    <row r="75" spans="1:75" ht="15">
      <c r="A75" s="4" t="s">
        <v>29</v>
      </c>
      <c r="B75" s="10">
        <f t="shared" si="48"/>
        <v>5</v>
      </c>
      <c r="C75" s="10">
        <f>11+3.7</f>
        <v>14.7</v>
      </c>
      <c r="D75" s="16">
        <f>11+3.7</f>
        <v>14.7</v>
      </c>
      <c r="E75" s="16">
        <v>1.9</v>
      </c>
      <c r="F75" s="13"/>
      <c r="G75" s="16">
        <v>12.9</v>
      </c>
      <c r="H75" s="16">
        <f>3.9+6.5</f>
        <v>10.4</v>
      </c>
      <c r="I75" s="16">
        <f>1.2+0.4</f>
        <v>1.6</v>
      </c>
      <c r="J75" s="16">
        <f>2.6+0.7</f>
        <v>3.3</v>
      </c>
      <c r="K75" s="16">
        <v>1.5</v>
      </c>
      <c r="L75" s="16">
        <v>22.7</v>
      </c>
      <c r="M75" s="16">
        <f>1.8+139.9</f>
        <v>141.70000000000002</v>
      </c>
      <c r="N75" s="16">
        <f>0.9+7.7</f>
        <v>8.6</v>
      </c>
      <c r="O75" s="16">
        <f>7.5+18.4</f>
        <v>25.9</v>
      </c>
      <c r="P75" s="16">
        <f>2.2+0.5+14.7</f>
        <v>17.4</v>
      </c>
      <c r="Q75" s="16">
        <v>43.6</v>
      </c>
      <c r="R75" s="16">
        <f>14.8+3.7</f>
        <v>18.5</v>
      </c>
      <c r="S75" s="16">
        <f>2.4+69</f>
        <v>71.4</v>
      </c>
      <c r="T75" s="16">
        <v>1.3</v>
      </c>
      <c r="U75" s="16">
        <f>1.1+9.2</f>
        <v>10.299999999999999</v>
      </c>
      <c r="V75" s="16">
        <v>7.8</v>
      </c>
      <c r="W75" s="16">
        <f>7.6+8.9</f>
        <v>16.5</v>
      </c>
      <c r="X75" s="16">
        <v>14.1</v>
      </c>
      <c r="Y75" s="16">
        <v>3.5</v>
      </c>
      <c r="Z75" s="16">
        <f>13.5+3.5</f>
        <v>17</v>
      </c>
      <c r="AA75" s="16">
        <v>2.9</v>
      </c>
      <c r="AB75" s="13"/>
      <c r="AC75" s="16">
        <v>34.8</v>
      </c>
      <c r="AD75" s="16">
        <v>5.3</v>
      </c>
      <c r="AE75" s="13"/>
      <c r="AF75" s="13"/>
      <c r="AG75" s="13"/>
      <c r="AH75" s="13"/>
      <c r="AI75" s="13"/>
      <c r="AJ75" s="13"/>
      <c r="AK75" s="13"/>
      <c r="AL75" s="10">
        <v>0</v>
      </c>
      <c r="AM75" s="19">
        <f t="shared" si="49"/>
        <v>0.36837588273167254</v>
      </c>
      <c r="AN75" s="26">
        <f t="shared" si="50"/>
        <v>0.36837588273167254</v>
      </c>
      <c r="AO75" s="26">
        <f t="shared" si="51"/>
        <v>0.06172358230677269</v>
      </c>
      <c r="AP75" s="26" t="str">
        <f t="shared" si="52"/>
        <v>ND</v>
      </c>
      <c r="AQ75" s="26">
        <f t="shared" si="53"/>
        <v>0.5986723396671938</v>
      </c>
      <c r="AR75" s="26">
        <f t="shared" si="54"/>
        <v>0.48481492073858756</v>
      </c>
      <c r="AS75" s="26">
        <f t="shared" si="55"/>
        <v>0.07425393360213256</v>
      </c>
      <c r="AT75" s="26">
        <f t="shared" si="56"/>
        <v>0.1531487380543984</v>
      </c>
      <c r="AU75" s="26">
        <f t="shared" si="57"/>
        <v>0.06961306275199927</v>
      </c>
      <c r="AV75" s="26">
        <f t="shared" si="58"/>
        <v>1.0693912431461206</v>
      </c>
      <c r="AW75" s="26">
        <f t="shared" si="59"/>
        <v>5.754099745309008</v>
      </c>
      <c r="AX75" s="26">
        <f t="shared" si="60"/>
        <v>0.3991148931114625</v>
      </c>
      <c r="AY75" s="26">
        <f t="shared" si="61"/>
        <v>1.2019855501845207</v>
      </c>
      <c r="AZ75" s="26">
        <f t="shared" si="62"/>
        <v>0.8075115279231916</v>
      </c>
      <c r="BA75" s="26">
        <f t="shared" si="63"/>
        <v>1.7704922293258485</v>
      </c>
      <c r="BB75" s="26">
        <f t="shared" si="64"/>
        <v>1.0927141365313826</v>
      </c>
      <c r="BC75" s="26">
        <f t="shared" si="65"/>
        <v>2.728832059878372</v>
      </c>
      <c r="BD75" s="26">
        <f t="shared" si="66"/>
        <v>0.04445465761706621</v>
      </c>
      <c r="BE75" s="26">
        <f t="shared" si="67"/>
        <v>0.31804209580477766</v>
      </c>
      <c r="BF75" s="26">
        <f t="shared" si="68"/>
        <v>0.19530781732684566</v>
      </c>
      <c r="BG75" s="26">
        <f t="shared" si="69"/>
        <v>0.7166849023158478</v>
      </c>
      <c r="BH75" s="26">
        <f t="shared" si="70"/>
        <v>0.4160187273338023</v>
      </c>
      <c r="BI75" s="26">
        <f t="shared" si="71"/>
        <v>0.16243047975466499</v>
      </c>
      <c r="BJ75" s="26">
        <f t="shared" si="72"/>
        <v>0.849636355639786</v>
      </c>
      <c r="BK75" s="26">
        <f t="shared" si="73"/>
        <v>0.17064394552339146</v>
      </c>
      <c r="BL75" s="26" t="str">
        <f t="shared" si="74"/>
        <v>ND</v>
      </c>
      <c r="BM75" s="26">
        <f t="shared" si="75"/>
        <v>2.0554838892590332</v>
      </c>
      <c r="BN75" s="26">
        <f t="shared" si="76"/>
        <v>0.21522038567493113</v>
      </c>
      <c r="BO75" s="13"/>
      <c r="BV75" s="31">
        <f t="shared" si="77"/>
        <v>5.615008401613812</v>
      </c>
      <c r="BW75" s="13"/>
    </row>
    <row r="76" spans="1:75" ht="15">
      <c r="A76" s="4" t="s">
        <v>31</v>
      </c>
      <c r="B76" s="10">
        <f t="shared" si="48"/>
        <v>1</v>
      </c>
      <c r="C76" s="10">
        <v>1</v>
      </c>
      <c r="D76" s="16">
        <v>1</v>
      </c>
      <c r="E76" s="13"/>
      <c r="F76" s="13"/>
      <c r="G76" s="13"/>
      <c r="H76" s="13"/>
      <c r="I76" s="13"/>
      <c r="J76" s="16">
        <v>0</v>
      </c>
      <c r="K76" s="13"/>
      <c r="L76" s="13"/>
      <c r="M76" s="16">
        <v>0</v>
      </c>
      <c r="N76" s="16">
        <f>12.2+13.6</f>
        <v>25.799999999999997</v>
      </c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0">
        <v>0</v>
      </c>
      <c r="AM76" s="19">
        <f t="shared" si="49"/>
        <v>0.025059583859297452</v>
      </c>
      <c r="AN76" s="26">
        <f t="shared" si="50"/>
        <v>0.025059583859297452</v>
      </c>
      <c r="AO76" s="26" t="str">
        <f t="shared" si="51"/>
        <v>ND</v>
      </c>
      <c r="AP76" s="26" t="str">
        <f t="shared" si="52"/>
        <v>ND</v>
      </c>
      <c r="AQ76" s="26" t="str">
        <f t="shared" si="53"/>
        <v>ND</v>
      </c>
      <c r="AR76" s="26" t="str">
        <f t="shared" si="54"/>
        <v>ND</v>
      </c>
      <c r="AS76" s="26" t="str">
        <f t="shared" si="55"/>
        <v>ND</v>
      </c>
      <c r="AT76" s="26" t="str">
        <f t="shared" si="56"/>
        <v>ND</v>
      </c>
      <c r="AU76" s="26" t="str">
        <f t="shared" si="57"/>
        <v>ND</v>
      </c>
      <c r="AV76" s="26" t="str">
        <f t="shared" si="58"/>
        <v>ND</v>
      </c>
      <c r="AW76" s="26" t="str">
        <f t="shared" si="59"/>
        <v>ND</v>
      </c>
      <c r="AX76" s="26">
        <f t="shared" si="60"/>
        <v>1.1973446793343874</v>
      </c>
      <c r="AY76" s="26" t="str">
        <f t="shared" si="61"/>
        <v>ND</v>
      </c>
      <c r="AZ76" s="26" t="str">
        <f t="shared" si="62"/>
        <v>ND</v>
      </c>
      <c r="BA76" s="26" t="str">
        <f t="shared" si="63"/>
        <v>ND</v>
      </c>
      <c r="BB76" s="26" t="str">
        <f t="shared" si="64"/>
        <v>ND</v>
      </c>
      <c r="BC76" s="26" t="str">
        <f t="shared" si="65"/>
        <v>ND</v>
      </c>
      <c r="BD76" s="26" t="str">
        <f t="shared" si="66"/>
        <v>ND</v>
      </c>
      <c r="BE76" s="26" t="str">
        <f t="shared" si="67"/>
        <v>ND</v>
      </c>
      <c r="BF76" s="26" t="str">
        <f t="shared" si="68"/>
        <v>ND</v>
      </c>
      <c r="BG76" s="26" t="str">
        <f t="shared" si="69"/>
        <v>ND</v>
      </c>
      <c r="BH76" s="26" t="str">
        <f t="shared" si="70"/>
        <v>ND</v>
      </c>
      <c r="BI76" s="26" t="str">
        <f t="shared" si="71"/>
        <v>ND</v>
      </c>
      <c r="BJ76" s="26" t="str">
        <f t="shared" si="72"/>
        <v>ND</v>
      </c>
      <c r="BK76" s="26" t="str">
        <f t="shared" si="73"/>
        <v>ND</v>
      </c>
      <c r="BL76" s="26" t="str">
        <f t="shared" si="74"/>
        <v>ND</v>
      </c>
      <c r="BM76" s="26" t="str">
        <f t="shared" si="75"/>
        <v>ND</v>
      </c>
      <c r="BN76" s="26" t="str">
        <f t="shared" si="76"/>
        <v>ND</v>
      </c>
      <c r="BO76" s="13"/>
      <c r="BV76" s="31">
        <f t="shared" si="77"/>
        <v>0.4283304538230671</v>
      </c>
      <c r="BW76" s="13"/>
    </row>
    <row r="77" spans="1:75" ht="15">
      <c r="A77" s="4" t="s">
        <v>30</v>
      </c>
      <c r="B77" s="10">
        <f t="shared" si="48"/>
        <v>20</v>
      </c>
      <c r="C77" s="10">
        <v>7.9</v>
      </c>
      <c r="D77" s="16">
        <v>7.9</v>
      </c>
      <c r="E77" s="16">
        <v>0.8</v>
      </c>
      <c r="F77" s="13"/>
      <c r="G77" s="16">
        <v>7.2</v>
      </c>
      <c r="H77" s="16">
        <f>2.9+2.9</f>
        <v>5.8</v>
      </c>
      <c r="I77" s="13"/>
      <c r="J77" s="16">
        <v>30.1</v>
      </c>
      <c r="K77" s="16">
        <v>2.9</v>
      </c>
      <c r="L77" s="16">
        <v>26</v>
      </c>
      <c r="M77" s="16">
        <v>125.6</v>
      </c>
      <c r="N77" s="13"/>
      <c r="O77" s="16">
        <f>5.4+12.1</f>
        <v>17.5</v>
      </c>
      <c r="P77" s="16">
        <f>2.3+12.9</f>
        <v>15.2</v>
      </c>
      <c r="Q77" s="16">
        <v>12.2</v>
      </c>
      <c r="R77" s="16">
        <f>9.7+0.7</f>
        <v>10.399999999999999</v>
      </c>
      <c r="S77" s="16">
        <f>1.8+30.5+3.4</f>
        <v>35.699999999999996</v>
      </c>
      <c r="T77" s="16">
        <f>0.8+0.6</f>
        <v>1.4</v>
      </c>
      <c r="U77" s="16">
        <f>1.9+10.4</f>
        <v>12.3</v>
      </c>
      <c r="V77" s="16">
        <v>7.1</v>
      </c>
      <c r="W77" s="16">
        <v>6.7</v>
      </c>
      <c r="X77" s="16">
        <v>12</v>
      </c>
      <c r="Y77" s="16">
        <v>2.4</v>
      </c>
      <c r="Z77" s="16">
        <v>4.7</v>
      </c>
      <c r="AA77" s="16">
        <v>3.6</v>
      </c>
      <c r="AB77" s="16">
        <v>2.2</v>
      </c>
      <c r="AC77" s="16">
        <v>1.4</v>
      </c>
      <c r="AD77" s="16">
        <v>1.5</v>
      </c>
      <c r="AE77" s="13"/>
      <c r="AF77" s="13"/>
      <c r="AG77" s="13"/>
      <c r="AH77" s="13"/>
      <c r="AI77" s="13"/>
      <c r="AJ77" s="13"/>
      <c r="AK77" s="13"/>
      <c r="AL77" s="10">
        <v>0</v>
      </c>
      <c r="AM77" s="19">
        <f t="shared" si="49"/>
        <v>0.19797071248844988</v>
      </c>
      <c r="AN77" s="26">
        <f t="shared" si="50"/>
        <v>0.19797071248844988</v>
      </c>
      <c r="AO77" s="26">
        <f t="shared" si="51"/>
        <v>0.0259888767607464</v>
      </c>
      <c r="AP77" s="26" t="str">
        <f t="shared" si="52"/>
        <v>ND</v>
      </c>
      <c r="AQ77" s="26">
        <f t="shared" si="53"/>
        <v>0.33414270120959655</v>
      </c>
      <c r="AR77" s="26">
        <f t="shared" si="54"/>
        <v>0.2703775519503661</v>
      </c>
      <c r="AS77" s="26" t="str">
        <f t="shared" si="55"/>
        <v>ND</v>
      </c>
      <c r="AT77" s="26">
        <f t="shared" si="56"/>
        <v>1.3969021258901189</v>
      </c>
      <c r="AU77" s="26">
        <f t="shared" si="57"/>
        <v>0.13458525465386525</v>
      </c>
      <c r="AV77" s="26">
        <f t="shared" si="58"/>
        <v>1.224853406246658</v>
      </c>
      <c r="AW77" s="26">
        <f t="shared" si="59"/>
        <v>5.100317064296481</v>
      </c>
      <c r="AX77" s="26" t="str">
        <f t="shared" si="60"/>
        <v>ND</v>
      </c>
      <c r="AY77" s="26">
        <f t="shared" si="61"/>
        <v>0.8121523987733249</v>
      </c>
      <c r="AZ77" s="26">
        <f t="shared" si="62"/>
        <v>0.7054123692202593</v>
      </c>
      <c r="BA77" s="26">
        <f t="shared" si="63"/>
        <v>0.49541296325172823</v>
      </c>
      <c r="BB77" s="26">
        <f t="shared" si="64"/>
        <v>0.6142825416176421</v>
      </c>
      <c r="BC77" s="26">
        <f t="shared" si="65"/>
        <v>1.3644160299391859</v>
      </c>
      <c r="BD77" s="26">
        <f t="shared" si="66"/>
        <v>0.047874246664532834</v>
      </c>
      <c r="BE77" s="26">
        <f t="shared" si="67"/>
        <v>0.379797842562987</v>
      </c>
      <c r="BF77" s="26">
        <f t="shared" si="68"/>
        <v>0.17778019269494924</v>
      </c>
      <c r="BG77" s="26">
        <f t="shared" si="69"/>
        <v>0.2910175057888594</v>
      </c>
      <c r="BH77" s="26">
        <f t="shared" si="70"/>
        <v>0.35405849134791684</v>
      </c>
      <c r="BI77" s="26">
        <f t="shared" si="71"/>
        <v>0.11138090040319884</v>
      </c>
      <c r="BJ77" s="26">
        <f t="shared" si="72"/>
        <v>0.2348994630298232</v>
      </c>
      <c r="BK77" s="26">
        <f t="shared" si="73"/>
        <v>0.211833863408348</v>
      </c>
      <c r="BL77" s="26">
        <f t="shared" si="74"/>
        <v>0.11039522871821479</v>
      </c>
      <c r="BM77" s="26">
        <f t="shared" si="75"/>
        <v>0.0826918806023749</v>
      </c>
      <c r="BN77" s="26">
        <f t="shared" si="76"/>
        <v>0.06091142990799937</v>
      </c>
      <c r="BO77" s="13"/>
      <c r="BV77" s="31">
        <f t="shared" si="77"/>
        <v>3.3775539471867546</v>
      </c>
      <c r="BW77" s="13"/>
    </row>
    <row r="78" spans="1:75" ht="15">
      <c r="A78" s="4" t="s">
        <v>32</v>
      </c>
      <c r="B78" s="10">
        <f t="shared" si="48"/>
        <v>0.5</v>
      </c>
      <c r="C78" s="11"/>
      <c r="D78" s="13"/>
      <c r="E78" s="13"/>
      <c r="F78" s="13"/>
      <c r="G78" s="16">
        <v>6.7</v>
      </c>
      <c r="H78" s="13"/>
      <c r="I78" s="13"/>
      <c r="J78" s="16">
        <v>0</v>
      </c>
      <c r="K78" s="13"/>
      <c r="L78" s="13"/>
      <c r="M78" s="16">
        <v>7.9</v>
      </c>
      <c r="N78" s="16">
        <v>1.4</v>
      </c>
      <c r="O78" s="16">
        <f>1+1</f>
        <v>2</v>
      </c>
      <c r="P78" s="13"/>
      <c r="Q78" s="13"/>
      <c r="R78" s="16">
        <v>0.6</v>
      </c>
      <c r="S78" s="16">
        <v>6</v>
      </c>
      <c r="T78" s="13"/>
      <c r="U78" s="13"/>
      <c r="V78" s="16">
        <v>2</v>
      </c>
      <c r="W78" s="16">
        <v>1</v>
      </c>
      <c r="X78" s="16">
        <v>3.3</v>
      </c>
      <c r="Y78" s="13"/>
      <c r="Z78" s="16">
        <v>0.4</v>
      </c>
      <c r="AA78" s="13"/>
      <c r="AB78" s="13"/>
      <c r="AC78" s="13"/>
      <c r="AD78" s="16">
        <v>0.4</v>
      </c>
      <c r="AE78" s="13"/>
      <c r="AF78" s="13"/>
      <c r="AG78" s="13"/>
      <c r="AH78" s="13"/>
      <c r="AI78" s="13"/>
      <c r="AJ78" s="13"/>
      <c r="AK78" s="13"/>
      <c r="AL78" s="10">
        <v>0.2</v>
      </c>
      <c r="AM78" s="19" t="str">
        <f t="shared" si="49"/>
        <v>ND</v>
      </c>
      <c r="AN78" s="26" t="str">
        <f t="shared" si="50"/>
        <v>ND</v>
      </c>
      <c r="AO78" s="26" t="str">
        <f t="shared" si="51"/>
        <v>ND</v>
      </c>
      <c r="AP78" s="26" t="str">
        <f t="shared" si="52"/>
        <v>ND</v>
      </c>
      <c r="AQ78" s="26">
        <f t="shared" si="53"/>
        <v>0.30165660525866356</v>
      </c>
      <c r="AR78" s="26" t="str">
        <f t="shared" si="54"/>
        <v>ND</v>
      </c>
      <c r="AS78" s="26" t="str">
        <f t="shared" si="55"/>
        <v>ND</v>
      </c>
      <c r="AT78" s="26" t="str">
        <f t="shared" si="56"/>
        <v>ND</v>
      </c>
      <c r="AU78" s="26" t="str">
        <f t="shared" si="57"/>
        <v>ND</v>
      </c>
      <c r="AV78" s="26" t="str">
        <f t="shared" si="58"/>
        <v>ND</v>
      </c>
      <c r="AW78" s="26">
        <f t="shared" si="59"/>
        <v>0.31267867352773016</v>
      </c>
      <c r="AX78" s="26">
        <f t="shared" si="60"/>
        <v>0.05569045020159942</v>
      </c>
      <c r="AY78" s="26">
        <f t="shared" si="61"/>
        <v>0.08353567530239914</v>
      </c>
      <c r="AZ78" s="26" t="str">
        <f t="shared" si="62"/>
        <v>ND</v>
      </c>
      <c r="BA78" s="26" t="str">
        <f t="shared" si="63"/>
        <v>ND</v>
      </c>
      <c r="BB78" s="26">
        <f t="shared" si="64"/>
        <v>0.023626251600678543</v>
      </c>
      <c r="BC78" s="26">
        <f t="shared" si="65"/>
        <v>0.22166983119460162</v>
      </c>
      <c r="BD78" s="26" t="str">
        <f t="shared" si="66"/>
        <v>ND</v>
      </c>
      <c r="BE78" s="26" t="str">
        <f t="shared" si="67"/>
        <v>ND</v>
      </c>
      <c r="BF78" s="26">
        <f t="shared" si="68"/>
        <v>0.045071034767733616</v>
      </c>
      <c r="BG78" s="26">
        <f t="shared" si="69"/>
        <v>0.03474835890016232</v>
      </c>
      <c r="BH78" s="26">
        <f t="shared" si="70"/>
        <v>0.09146511026487851</v>
      </c>
      <c r="BI78" s="26" t="str">
        <f t="shared" si="71"/>
        <v>ND</v>
      </c>
      <c r="BJ78" s="26">
        <f t="shared" si="72"/>
        <v>0.009995721831056308</v>
      </c>
      <c r="BK78" s="26" t="str">
        <f t="shared" si="73"/>
        <v>ND</v>
      </c>
      <c r="BL78" s="26" t="str">
        <f t="shared" si="74"/>
        <v>ND</v>
      </c>
      <c r="BM78" s="26" t="str">
        <f t="shared" si="75"/>
        <v>ND</v>
      </c>
      <c r="BN78" s="26">
        <f t="shared" si="76"/>
        <v>0.00812152398773325</v>
      </c>
      <c r="BO78" s="13"/>
      <c r="BV78" s="31">
        <f t="shared" si="77"/>
        <v>0.3068034293836509</v>
      </c>
      <c r="BW78" s="13"/>
    </row>
    <row r="79" spans="1:75" ht="15">
      <c r="A79" s="4" t="s">
        <v>33</v>
      </c>
      <c r="B79" s="10">
        <f t="shared" si="48"/>
        <v>10</v>
      </c>
      <c r="C79" s="10">
        <f>46+16+5</f>
        <v>67</v>
      </c>
      <c r="D79" s="16">
        <f>46+16+5</f>
        <v>67</v>
      </c>
      <c r="E79" s="16">
        <v>7.5</v>
      </c>
      <c r="F79" s="13"/>
      <c r="G79" s="16">
        <v>124.7</v>
      </c>
      <c r="H79" s="16">
        <f>15+48</f>
        <v>63</v>
      </c>
      <c r="I79" s="16">
        <v>5.7</v>
      </c>
      <c r="J79" s="16">
        <v>0</v>
      </c>
      <c r="K79" s="16">
        <f>5.2+7.2</f>
        <v>12.4</v>
      </c>
      <c r="L79" s="16">
        <v>139.7</v>
      </c>
      <c r="M79" s="16">
        <f>4.3+732.8</f>
        <v>737.0999999999999</v>
      </c>
      <c r="N79" s="16">
        <f>5+52.3</f>
        <v>57.3</v>
      </c>
      <c r="O79" s="16">
        <f>55.2+51.8</f>
        <v>107</v>
      </c>
      <c r="P79" s="16">
        <f>16.4+2.3+119.2</f>
        <v>137.9</v>
      </c>
      <c r="Q79" s="16">
        <v>105.3</v>
      </c>
      <c r="R79" s="16">
        <f>55.8+10</f>
        <v>65.8</v>
      </c>
      <c r="S79" s="16">
        <f>10.5+481</f>
        <v>491.5</v>
      </c>
      <c r="T79" s="16">
        <v>4.9</v>
      </c>
      <c r="U79" s="16">
        <f>6.3+23.4</f>
        <v>29.7</v>
      </c>
      <c r="V79" s="16">
        <v>38.6</v>
      </c>
      <c r="W79" s="16">
        <f>91.8+33.4</f>
        <v>125.19999999999999</v>
      </c>
      <c r="X79" s="16">
        <v>58.4</v>
      </c>
      <c r="Y79" s="16">
        <v>18.4</v>
      </c>
      <c r="Z79" s="16">
        <f>27.9+13.4</f>
        <v>41.3</v>
      </c>
      <c r="AA79" s="16">
        <v>13.9</v>
      </c>
      <c r="AB79" s="16">
        <v>19.5</v>
      </c>
      <c r="AC79" s="16">
        <v>11.3</v>
      </c>
      <c r="AD79" s="16">
        <v>16.9</v>
      </c>
      <c r="AE79" s="13"/>
      <c r="AF79" s="13"/>
      <c r="AG79" s="13"/>
      <c r="AH79" s="13"/>
      <c r="AI79" s="13"/>
      <c r="AJ79" s="13"/>
      <c r="AK79" s="13"/>
      <c r="AL79" s="10">
        <v>0</v>
      </c>
      <c r="AM79" s="19">
        <f t="shared" si="49"/>
        <v>1.6789921185729293</v>
      </c>
      <c r="AN79" s="26">
        <f t="shared" si="50"/>
        <v>1.6789921185729293</v>
      </c>
      <c r="AO79" s="26">
        <f t="shared" si="51"/>
        <v>0.2436457196319975</v>
      </c>
      <c r="AP79" s="26" t="str">
        <f t="shared" si="52"/>
        <v>ND</v>
      </c>
      <c r="AQ79" s="26">
        <f t="shared" si="53"/>
        <v>5.787165950116207</v>
      </c>
      <c r="AR79" s="26">
        <f t="shared" si="54"/>
        <v>2.9368596160125975</v>
      </c>
      <c r="AS79" s="26">
        <f t="shared" si="55"/>
        <v>0.26452963845759725</v>
      </c>
      <c r="AT79" s="26" t="str">
        <f t="shared" si="56"/>
        <v>ND</v>
      </c>
      <c r="AU79" s="26">
        <f t="shared" si="57"/>
        <v>0.5754679854165273</v>
      </c>
      <c r="AV79" s="26">
        <f t="shared" si="58"/>
        <v>6.581231571256081</v>
      </c>
      <c r="AW79" s="26">
        <f t="shared" si="59"/>
        <v>29.931876656790887</v>
      </c>
      <c r="AX79" s="26">
        <f t="shared" si="60"/>
        <v>2.659218997126372</v>
      </c>
      <c r="AY79" s="26">
        <f t="shared" si="61"/>
        <v>4.965731809642615</v>
      </c>
      <c r="AZ79" s="26">
        <f t="shared" si="62"/>
        <v>6.3997609023338</v>
      </c>
      <c r="BA79" s="26">
        <f t="shared" si="63"/>
        <v>4.275982379541556</v>
      </c>
      <c r="BB79" s="26">
        <f t="shared" si="64"/>
        <v>3.8865183883116203</v>
      </c>
      <c r="BC79" s="26">
        <f t="shared" si="65"/>
        <v>18.784607246921848</v>
      </c>
      <c r="BD79" s="26">
        <f t="shared" si="66"/>
        <v>0.16755986332586495</v>
      </c>
      <c r="BE79" s="26">
        <f t="shared" si="67"/>
        <v>0.9170728393594074</v>
      </c>
      <c r="BF79" s="26">
        <f t="shared" si="68"/>
        <v>0.9665233011302875</v>
      </c>
      <c r="BG79" s="26">
        <f t="shared" si="69"/>
        <v>5.438118167875402</v>
      </c>
      <c r="BH79" s="26">
        <f t="shared" si="70"/>
        <v>1.7230846578931953</v>
      </c>
      <c r="BI79" s="26">
        <f t="shared" si="71"/>
        <v>0.8539202364245244</v>
      </c>
      <c r="BJ79" s="26">
        <f t="shared" si="72"/>
        <v>2.064116558113127</v>
      </c>
      <c r="BK79" s="26">
        <f t="shared" si="73"/>
        <v>0.817914083715566</v>
      </c>
      <c r="BL79" s="26">
        <f t="shared" si="74"/>
        <v>0.9785031636387219</v>
      </c>
      <c r="BM79" s="26">
        <f t="shared" si="75"/>
        <v>0.6674416077191689</v>
      </c>
      <c r="BN79" s="26">
        <f t="shared" si="76"/>
        <v>0.6862687769634596</v>
      </c>
      <c r="BO79" s="13"/>
      <c r="BV79" s="31">
        <f t="shared" si="77"/>
        <v>26.041810547056965</v>
      </c>
      <c r="BW79" s="13"/>
    </row>
    <row r="80" spans="1:75" ht="15">
      <c r="A80" s="4" t="s">
        <v>34</v>
      </c>
      <c r="B80" s="10">
        <f t="shared" si="48"/>
        <v>10</v>
      </c>
      <c r="C80" s="11"/>
      <c r="D80" s="13"/>
      <c r="E80" s="13"/>
      <c r="F80" s="13"/>
      <c r="G80" s="16">
        <v>21.9</v>
      </c>
      <c r="H80" s="13"/>
      <c r="I80" s="13"/>
      <c r="J80" s="16">
        <v>0</v>
      </c>
      <c r="K80" s="13"/>
      <c r="L80" s="16">
        <v>47.4</v>
      </c>
      <c r="M80" s="16">
        <v>205.1</v>
      </c>
      <c r="N80" s="13"/>
      <c r="O80" s="16">
        <f>14.7+14.3</f>
        <v>29</v>
      </c>
      <c r="P80" s="16">
        <v>33.3</v>
      </c>
      <c r="Q80" s="16">
        <v>47.6</v>
      </c>
      <c r="R80" s="13"/>
      <c r="S80" s="16">
        <f>11.3+115.5</f>
        <v>126.8</v>
      </c>
      <c r="T80" s="13"/>
      <c r="U80" s="16">
        <v>7.4</v>
      </c>
      <c r="V80" s="16">
        <v>21.2</v>
      </c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0">
        <v>0</v>
      </c>
      <c r="AM80" s="19" t="str">
        <f t="shared" si="49"/>
        <v>ND</v>
      </c>
      <c r="AN80" s="26" t="str">
        <f t="shared" si="50"/>
        <v>ND</v>
      </c>
      <c r="AO80" s="26" t="str">
        <f t="shared" si="51"/>
        <v>ND</v>
      </c>
      <c r="AP80" s="26" t="str">
        <f t="shared" si="52"/>
        <v>ND</v>
      </c>
      <c r="AQ80" s="26">
        <f t="shared" si="53"/>
        <v>1.0163507161791894</v>
      </c>
      <c r="AR80" s="26" t="str">
        <f t="shared" si="54"/>
        <v>ND</v>
      </c>
      <c r="AS80" s="26" t="str">
        <f t="shared" si="55"/>
        <v>ND</v>
      </c>
      <c r="AT80" s="26" t="str">
        <f t="shared" si="56"/>
        <v>ND</v>
      </c>
      <c r="AU80" s="26" t="str">
        <f t="shared" si="57"/>
        <v>ND</v>
      </c>
      <c r="AV80" s="26">
        <f t="shared" si="58"/>
        <v>2.233001979080446</v>
      </c>
      <c r="AW80" s="26">
        <f t="shared" si="59"/>
        <v>8.328622849420448</v>
      </c>
      <c r="AX80" s="26" t="str">
        <f t="shared" si="60"/>
        <v>ND</v>
      </c>
      <c r="AY80" s="26">
        <f t="shared" si="61"/>
        <v>1.3458525465386526</v>
      </c>
      <c r="AZ80" s="26">
        <f t="shared" si="62"/>
        <v>1.5454099930943839</v>
      </c>
      <c r="BA80" s="26">
        <f t="shared" si="63"/>
        <v>1.9329227090805134</v>
      </c>
      <c r="BB80" s="26" t="str">
        <f t="shared" si="64"/>
        <v>ND</v>
      </c>
      <c r="BC80" s="26">
        <f t="shared" si="65"/>
        <v>4.846161137150946</v>
      </c>
      <c r="BD80" s="26" t="str">
        <f t="shared" si="66"/>
        <v>ND</v>
      </c>
      <c r="BE80" s="26">
        <f t="shared" si="67"/>
        <v>0.22849626300537426</v>
      </c>
      <c r="BF80" s="26">
        <f t="shared" si="68"/>
        <v>0.5308366317088625</v>
      </c>
      <c r="BG80" s="26" t="str">
        <f t="shared" si="69"/>
        <v>ND</v>
      </c>
      <c r="BH80" s="26" t="str">
        <f t="shared" si="70"/>
        <v>ND</v>
      </c>
      <c r="BI80" s="26" t="str">
        <f t="shared" si="71"/>
        <v>ND</v>
      </c>
      <c r="BJ80" s="26" t="str">
        <f t="shared" si="72"/>
        <v>ND</v>
      </c>
      <c r="BK80" s="26" t="str">
        <f t="shared" si="73"/>
        <v>ND</v>
      </c>
      <c r="BL80" s="26" t="str">
        <f t="shared" si="74"/>
        <v>ND</v>
      </c>
      <c r="BM80" s="26" t="str">
        <f t="shared" si="75"/>
        <v>ND</v>
      </c>
      <c r="BN80" s="26" t="str">
        <f t="shared" si="76"/>
        <v>ND</v>
      </c>
      <c r="BO80" s="13"/>
      <c r="BV80" s="31">
        <f t="shared" si="77"/>
        <v>4.793132804333765</v>
      </c>
      <c r="BW80" s="13"/>
    </row>
    <row r="81" spans="1:75" ht="15.75" thickBot="1">
      <c r="A81" s="4" t="s">
        <v>35</v>
      </c>
      <c r="B81" s="10">
        <f t="shared" si="48"/>
        <v>500</v>
      </c>
      <c r="C81" s="11"/>
      <c r="D81" s="13"/>
      <c r="E81" s="13"/>
      <c r="F81" s="13"/>
      <c r="G81" s="16">
        <v>0</v>
      </c>
      <c r="H81" s="13"/>
      <c r="I81" s="13"/>
      <c r="J81" s="16">
        <v>0</v>
      </c>
      <c r="K81" s="13"/>
      <c r="L81" s="16">
        <v>1678</v>
      </c>
      <c r="M81" s="16">
        <v>3272</v>
      </c>
      <c r="N81" s="13"/>
      <c r="O81" s="13"/>
      <c r="P81" s="16">
        <v>882</v>
      </c>
      <c r="Q81" s="13"/>
      <c r="R81" s="13"/>
      <c r="S81" s="16">
        <v>3913</v>
      </c>
      <c r="T81" s="13"/>
      <c r="U81" s="13"/>
      <c r="V81" s="16">
        <v>469</v>
      </c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>
        <v>0</v>
      </c>
      <c r="AM81" s="19" t="str">
        <f t="shared" si="49"/>
        <v>ND</v>
      </c>
      <c r="AN81" s="26" t="str">
        <f t="shared" si="50"/>
        <v>ND</v>
      </c>
      <c r="AO81" s="26" t="str">
        <f t="shared" si="51"/>
        <v>ND</v>
      </c>
      <c r="AP81" s="26" t="str">
        <f t="shared" si="52"/>
        <v>ND</v>
      </c>
      <c r="AQ81" s="26" t="str">
        <f t="shared" si="53"/>
        <v>ND</v>
      </c>
      <c r="AR81" s="26" t="str">
        <f t="shared" si="54"/>
        <v>ND</v>
      </c>
      <c r="AS81" s="26" t="str">
        <f t="shared" si="55"/>
        <v>ND</v>
      </c>
      <c r="AT81" s="26" t="str">
        <f t="shared" si="56"/>
        <v>ND</v>
      </c>
      <c r="AU81" s="26" t="str">
        <f t="shared" si="57"/>
        <v>ND</v>
      </c>
      <c r="AV81" s="26">
        <f t="shared" si="58"/>
        <v>79.05015444930355</v>
      </c>
      <c r="AW81" s="26">
        <f t="shared" si="59"/>
        <v>132.86813243931596</v>
      </c>
      <c r="AX81" s="26" t="str">
        <f t="shared" si="60"/>
        <v>ND</v>
      </c>
      <c r="AY81" s="26" t="str">
        <f t="shared" si="61"/>
        <v>ND</v>
      </c>
      <c r="AZ81" s="26">
        <f t="shared" si="62"/>
        <v>40.93248089817558</v>
      </c>
      <c r="BA81" s="26" t="str">
        <f t="shared" si="63"/>
        <v>ND</v>
      </c>
      <c r="BB81" s="26" t="str">
        <f t="shared" si="64"/>
        <v>ND</v>
      </c>
      <c r="BC81" s="26">
        <f t="shared" si="65"/>
        <v>149.5506981835304</v>
      </c>
      <c r="BD81" s="26" t="str">
        <f t="shared" si="66"/>
        <v>ND</v>
      </c>
      <c r="BE81" s="26" t="str">
        <f t="shared" si="67"/>
        <v>ND</v>
      </c>
      <c r="BF81" s="26">
        <f t="shared" si="68"/>
        <v>11.743508503370592</v>
      </c>
      <c r="BG81" s="26" t="str">
        <f t="shared" si="69"/>
        <v>ND</v>
      </c>
      <c r="BH81" s="26" t="str">
        <f t="shared" si="70"/>
        <v>ND</v>
      </c>
      <c r="BI81" s="26" t="str">
        <f t="shared" si="71"/>
        <v>ND</v>
      </c>
      <c r="BJ81" s="26" t="str">
        <f t="shared" si="72"/>
        <v>ND</v>
      </c>
      <c r="BK81" s="26" t="str">
        <f t="shared" si="73"/>
        <v>ND</v>
      </c>
      <c r="BL81" s="26" t="str">
        <f t="shared" si="74"/>
        <v>ND</v>
      </c>
      <c r="BM81" s="26" t="str">
        <f t="shared" si="75"/>
        <v>ND</v>
      </c>
      <c r="BN81" s="26" t="str">
        <f t="shared" si="76"/>
        <v>ND</v>
      </c>
      <c r="BO81" s="13"/>
      <c r="BV81" s="31">
        <f t="shared" si="77"/>
        <v>98.55940544884679</v>
      </c>
      <c r="BW81" s="13"/>
    </row>
    <row r="82" spans="1:75" ht="15.75" thickTop="1">
      <c r="A82" s="3" t="s">
        <v>40</v>
      </c>
      <c r="B82" s="12"/>
      <c r="C82" s="15">
        <f>10810+2880+1240</f>
        <v>14930</v>
      </c>
      <c r="D82" s="15">
        <f>10810+2880+1240</f>
        <v>14930</v>
      </c>
      <c r="E82" s="15">
        <v>4940</v>
      </c>
      <c r="F82" s="12"/>
      <c r="G82" s="15">
        <v>19380</v>
      </c>
      <c r="H82" s="15">
        <f>7500+14900</f>
        <v>22400</v>
      </c>
      <c r="I82" s="15">
        <f>1540+1180</f>
        <v>2720</v>
      </c>
      <c r="J82" s="12"/>
      <c r="K82" s="15">
        <f>650+4120</f>
        <v>4770</v>
      </c>
      <c r="L82" s="12"/>
      <c r="M82" s="12"/>
      <c r="N82" s="12"/>
      <c r="O82" s="15">
        <f>4970+11430</f>
        <v>16400</v>
      </c>
      <c r="P82" s="15">
        <f>2380+700+15990</f>
        <v>19070</v>
      </c>
      <c r="Q82" s="15">
        <v>14180</v>
      </c>
      <c r="R82" s="15">
        <f>9920+1340</f>
        <v>11260</v>
      </c>
      <c r="S82" s="15">
        <f>1800+75230+370</f>
        <v>77400</v>
      </c>
      <c r="T82" s="15">
        <f>1760+570</f>
        <v>2330</v>
      </c>
      <c r="U82" s="15">
        <f>3010+7850</f>
        <v>10860</v>
      </c>
      <c r="V82" s="15">
        <v>30820</v>
      </c>
      <c r="W82" s="15">
        <f>57890+136800</f>
        <v>194690</v>
      </c>
      <c r="X82" s="15">
        <v>29160</v>
      </c>
      <c r="Y82" s="15">
        <v>8150</v>
      </c>
      <c r="Z82" s="15">
        <f>8850+3670</f>
        <v>12520</v>
      </c>
      <c r="AA82" s="15">
        <f>540+4260</f>
        <v>4800</v>
      </c>
      <c r="AB82" s="15">
        <f>2240+1250+1590</f>
        <v>5080</v>
      </c>
      <c r="AC82" s="15">
        <v>5350</v>
      </c>
      <c r="AD82" s="15">
        <f>540+5430</f>
        <v>5970</v>
      </c>
      <c r="AE82" s="12"/>
      <c r="AF82" s="12"/>
      <c r="AG82" s="12"/>
      <c r="AH82" s="12"/>
      <c r="AI82" s="12"/>
      <c r="AJ82" s="12"/>
      <c r="AK82" s="13"/>
      <c r="AL82" s="18"/>
      <c r="AM82" s="22">
        <f aca="true" t="shared" si="78" ref="AM82:BN82">IF(C82=0,"ND",C82/(0.06413*AM$47))</f>
        <v>374.13958701931097</v>
      </c>
      <c r="AN82" s="22">
        <f t="shared" si="78"/>
        <v>374.13958701931097</v>
      </c>
      <c r="AO82" s="22">
        <f t="shared" si="78"/>
        <v>160.48131399760902</v>
      </c>
      <c r="AP82" s="22" t="str">
        <f t="shared" si="78"/>
        <v>ND</v>
      </c>
      <c r="AQ82" s="22">
        <f t="shared" si="78"/>
        <v>899.4007707558306</v>
      </c>
      <c r="AR82" s="22">
        <f t="shared" si="78"/>
        <v>1044.2167523600347</v>
      </c>
      <c r="AS82" s="22">
        <f t="shared" si="78"/>
        <v>126.23168712362535</v>
      </c>
      <c r="AT82" s="22" t="str">
        <f t="shared" si="78"/>
        <v>ND</v>
      </c>
      <c r="AU82" s="22">
        <f t="shared" si="78"/>
        <v>221.3695395513577</v>
      </c>
      <c r="AV82" s="22" t="str">
        <f t="shared" si="78"/>
        <v>ND</v>
      </c>
      <c r="AW82" s="22" t="str">
        <f t="shared" si="78"/>
        <v>ND</v>
      </c>
      <c r="AX82" s="22" t="str">
        <f t="shared" si="78"/>
        <v>ND</v>
      </c>
      <c r="AY82" s="22">
        <f t="shared" si="78"/>
        <v>761.1028194218587</v>
      </c>
      <c r="AZ82" s="22">
        <f t="shared" si="78"/>
        <v>885.0140711204175</v>
      </c>
      <c r="BA82" s="22">
        <f t="shared" si="78"/>
        <v>575.8160507302874</v>
      </c>
      <c r="BB82" s="22">
        <f t="shared" si="78"/>
        <v>665.078982559101</v>
      </c>
      <c r="BC82" s="22">
        <f t="shared" si="78"/>
        <v>2958.145678355546</v>
      </c>
      <c r="BD82" s="22">
        <f t="shared" si="78"/>
        <v>79.67642480597252</v>
      </c>
      <c r="BE82" s="22">
        <f t="shared" si="78"/>
        <v>335.33370489707625</v>
      </c>
      <c r="BF82" s="22">
        <f t="shared" si="78"/>
        <v>771.7162730786389</v>
      </c>
      <c r="BG82" s="22">
        <f t="shared" si="78"/>
        <v>8456.44749284075</v>
      </c>
      <c r="BH82" s="22">
        <f t="shared" si="78"/>
        <v>860.3621339754379</v>
      </c>
      <c r="BI82" s="22">
        <f t="shared" si="78"/>
        <v>378.2309742858627</v>
      </c>
      <c r="BJ82" s="22">
        <f t="shared" si="78"/>
        <v>625.7321866241248</v>
      </c>
      <c r="BK82" s="22">
        <f t="shared" si="78"/>
        <v>282.4451512111307</v>
      </c>
      <c r="BL82" s="22">
        <f t="shared" si="78"/>
        <v>254.91261904024142</v>
      </c>
      <c r="BM82" s="22">
        <f t="shared" si="78"/>
        <v>316.00111515907554</v>
      </c>
      <c r="BN82" s="22">
        <f t="shared" si="78"/>
        <v>242.4274910338375</v>
      </c>
      <c r="BO82" s="13"/>
      <c r="BV82" s="32">
        <f t="shared" si="77"/>
        <v>7454.5087001094735</v>
      </c>
      <c r="BW82" s="13"/>
    </row>
    <row r="83" spans="1:75" ht="15">
      <c r="A83" s="6" t="s">
        <v>37</v>
      </c>
      <c r="B83" s="12"/>
      <c r="C83" s="15">
        <f aca="true" t="shared" si="79" ref="C83:AJ83">SUM(C50:C81)*100/(C82*1000)</f>
        <v>2.1641681178834564</v>
      </c>
      <c r="D83" s="15">
        <f t="shared" si="79"/>
        <v>2.1641681178834564</v>
      </c>
      <c r="E83" s="15">
        <f t="shared" si="79"/>
        <v>1.042593117408907</v>
      </c>
      <c r="F83" s="15" t="e">
        <f t="shared" si="79"/>
        <v>#DIV/0!</v>
      </c>
      <c r="G83" s="15">
        <f t="shared" si="79"/>
        <v>1.3603338493292056</v>
      </c>
      <c r="H83" s="15">
        <f t="shared" si="79"/>
        <v>0.6278191964285713</v>
      </c>
      <c r="I83" s="15">
        <f t="shared" si="79"/>
        <v>1.9978014705882352</v>
      </c>
      <c r="J83" s="15" t="e">
        <f t="shared" si="79"/>
        <v>#DIV/0!</v>
      </c>
      <c r="K83" s="15">
        <f t="shared" si="79"/>
        <v>1.5214863731656187</v>
      </c>
      <c r="L83" s="15" t="e">
        <f t="shared" si="79"/>
        <v>#DIV/0!</v>
      </c>
      <c r="M83" s="15" t="e">
        <f t="shared" si="79"/>
        <v>#DIV/0!</v>
      </c>
      <c r="N83" s="15" t="e">
        <f t="shared" si="79"/>
        <v>#DIV/0!</v>
      </c>
      <c r="O83" s="15">
        <f t="shared" si="79"/>
        <v>2.8802585365853655</v>
      </c>
      <c r="P83" s="15">
        <f t="shared" si="79"/>
        <v>2.489507079181961</v>
      </c>
      <c r="Q83" s="15">
        <f t="shared" si="79"/>
        <v>2.6956181946403386</v>
      </c>
      <c r="R83" s="15">
        <f t="shared" si="79"/>
        <v>3.0503028419182963</v>
      </c>
      <c r="S83" s="15">
        <f t="shared" si="79"/>
        <v>3.446016795865633</v>
      </c>
      <c r="T83" s="15">
        <f t="shared" si="79"/>
        <v>2.903369098712447</v>
      </c>
      <c r="U83" s="15">
        <f t="shared" si="79"/>
        <v>1.6525239410681396</v>
      </c>
      <c r="V83" s="15">
        <f t="shared" si="79"/>
        <v>1.2711054510058404</v>
      </c>
      <c r="W83" s="15">
        <f t="shared" si="79"/>
        <v>0.15108915198520728</v>
      </c>
      <c r="X83" s="15">
        <f t="shared" si="79"/>
        <v>1.1857818930041153</v>
      </c>
      <c r="Y83" s="15">
        <f t="shared" si="79"/>
        <v>1.1726478527607362</v>
      </c>
      <c r="Z83" s="15">
        <f t="shared" si="79"/>
        <v>1.7810327476038341</v>
      </c>
      <c r="AA83" s="15">
        <f t="shared" si="79"/>
        <v>1.4156916666666666</v>
      </c>
      <c r="AB83" s="15">
        <f t="shared" si="79"/>
        <v>0.7886527559055118</v>
      </c>
      <c r="AC83" s="15">
        <f t="shared" si="79"/>
        <v>1.5864990654205609</v>
      </c>
      <c r="AD83" s="15">
        <f t="shared" si="79"/>
        <v>1.4740619765494134</v>
      </c>
      <c r="AE83" s="15" t="e">
        <f t="shared" si="79"/>
        <v>#DIV/0!</v>
      </c>
      <c r="AF83" s="15" t="e">
        <f t="shared" si="79"/>
        <v>#DIV/0!</v>
      </c>
      <c r="AG83" s="15" t="e">
        <f t="shared" si="79"/>
        <v>#DIV/0!</v>
      </c>
      <c r="AH83" s="15" t="e">
        <f t="shared" si="79"/>
        <v>#DIV/0!</v>
      </c>
      <c r="AI83" s="15" t="e">
        <f t="shared" si="79"/>
        <v>#DIV/0!</v>
      </c>
      <c r="AJ83" s="15" t="e">
        <f t="shared" si="79"/>
        <v>#DIV/0!</v>
      </c>
      <c r="AK83" s="13"/>
      <c r="AM83" s="23" t="s">
        <v>73</v>
      </c>
      <c r="AN83" s="23" t="s">
        <v>73</v>
      </c>
      <c r="AO83" s="23" t="s">
        <v>73</v>
      </c>
      <c r="AP83" s="23" t="s">
        <v>73</v>
      </c>
      <c r="AQ83" s="23" t="s">
        <v>73</v>
      </c>
      <c r="AR83" s="23" t="s">
        <v>73</v>
      </c>
      <c r="AS83" s="23" t="s">
        <v>73</v>
      </c>
      <c r="AT83" s="23" t="s">
        <v>73</v>
      </c>
      <c r="AU83" s="23" t="s">
        <v>73</v>
      </c>
      <c r="AV83" s="23" t="s">
        <v>73</v>
      </c>
      <c r="AW83" s="23" t="s">
        <v>73</v>
      </c>
      <c r="AX83" s="23" t="s">
        <v>73</v>
      </c>
      <c r="AY83" s="23" t="s">
        <v>73</v>
      </c>
      <c r="AZ83" s="23" t="s">
        <v>73</v>
      </c>
      <c r="BA83" s="23" t="s">
        <v>73</v>
      </c>
      <c r="BB83" s="23" t="s">
        <v>73</v>
      </c>
      <c r="BC83" s="23" t="s">
        <v>73</v>
      </c>
      <c r="BD83" s="23" t="s">
        <v>73</v>
      </c>
      <c r="BE83" s="23" t="s">
        <v>73</v>
      </c>
      <c r="BF83" s="23" t="s">
        <v>73</v>
      </c>
      <c r="BG83" s="23" t="s">
        <v>73</v>
      </c>
      <c r="BH83" s="23" t="s">
        <v>73</v>
      </c>
      <c r="BI83" s="23" t="s">
        <v>73</v>
      </c>
      <c r="BJ83" s="23" t="s">
        <v>73</v>
      </c>
      <c r="BK83" s="23" t="s">
        <v>73</v>
      </c>
      <c r="BL83" s="23" t="s">
        <v>73</v>
      </c>
      <c r="BM83" s="23" t="s">
        <v>73</v>
      </c>
      <c r="BN83" s="23" t="s">
        <v>73</v>
      </c>
      <c r="BO83" s="13"/>
      <c r="BV83" s="30">
        <f>(SUM(AM83:BN83)-AN83-AW83)*8760/9855</f>
        <v>0</v>
      </c>
      <c r="BW83" s="13"/>
    </row>
    <row r="84" spans="1:75" ht="15">
      <c r="A84" s="7" t="s">
        <v>38</v>
      </c>
      <c r="B84" s="13"/>
      <c r="C84" s="16">
        <f aca="true" t="shared" si="80" ref="C84:AJ84">C82-(C51*2.542/1000)</f>
        <v>14777.510504</v>
      </c>
      <c r="D84" s="16">
        <f t="shared" si="80"/>
        <v>14777.510504</v>
      </c>
      <c r="E84" s="16">
        <f t="shared" si="80"/>
        <v>4901.516662</v>
      </c>
      <c r="F84" s="16">
        <f t="shared" si="80"/>
        <v>0</v>
      </c>
      <c r="G84" s="16">
        <f t="shared" si="80"/>
        <v>19257.063796</v>
      </c>
      <c r="H84" s="16">
        <f t="shared" si="80"/>
        <v>22316.312276</v>
      </c>
      <c r="I84" s="16">
        <f t="shared" si="80"/>
        <v>2683.285894</v>
      </c>
      <c r="J84" s="16">
        <f t="shared" si="80"/>
        <v>-25.338656</v>
      </c>
      <c r="K84" s="16">
        <f t="shared" si="80"/>
        <v>4730.156692</v>
      </c>
      <c r="L84" s="16">
        <f t="shared" si="80"/>
        <v>-687.9058719999999</v>
      </c>
      <c r="M84" s="16">
        <f t="shared" si="80"/>
        <v>-1116.25575</v>
      </c>
      <c r="N84" s="16">
        <f t="shared" si="80"/>
        <v>-204.831818</v>
      </c>
      <c r="O84" s="16">
        <f t="shared" si="80"/>
        <v>16161.092672</v>
      </c>
      <c r="P84" s="16">
        <f t="shared" si="80"/>
        <v>18720.035234</v>
      </c>
      <c r="Q84" s="16">
        <f t="shared" si="80"/>
        <v>13921.14814</v>
      </c>
      <c r="R84" s="16">
        <f t="shared" si="80"/>
        <v>11030.299796</v>
      </c>
      <c r="S84" s="16">
        <f t="shared" si="80"/>
        <v>75917.84368600001</v>
      </c>
      <c r="T84" s="16">
        <f t="shared" si="80"/>
        <v>2295.268654</v>
      </c>
      <c r="U84" s="16">
        <f t="shared" si="80"/>
        <v>10740.594634</v>
      </c>
      <c r="V84" s="16">
        <f t="shared" si="80"/>
        <v>30541.475602</v>
      </c>
      <c r="W84" s="16">
        <f t="shared" si="80"/>
        <v>194488.831204</v>
      </c>
      <c r="X84" s="16">
        <f t="shared" si="80"/>
        <v>28934.565272</v>
      </c>
      <c r="Y84" s="16">
        <f t="shared" si="80"/>
        <v>8094.11413</v>
      </c>
      <c r="Z84" s="16">
        <f t="shared" si="80"/>
        <v>12370.736302</v>
      </c>
      <c r="AA84" s="16">
        <f t="shared" si="80"/>
        <v>4756.712282</v>
      </c>
      <c r="AB84" s="16">
        <f t="shared" si="80"/>
        <v>5080</v>
      </c>
      <c r="AC84" s="16">
        <f t="shared" si="80"/>
        <v>5288.6107</v>
      </c>
      <c r="AD84" s="16">
        <f t="shared" si="80"/>
        <v>5916.4909</v>
      </c>
      <c r="AE84" s="16">
        <f t="shared" si="80"/>
        <v>0</v>
      </c>
      <c r="AF84" s="16">
        <f t="shared" si="80"/>
        <v>0</v>
      </c>
      <c r="AG84" s="16">
        <f t="shared" si="80"/>
        <v>0</v>
      </c>
      <c r="AH84" s="16">
        <f t="shared" si="80"/>
        <v>0</v>
      </c>
      <c r="AI84" s="16">
        <f t="shared" si="80"/>
        <v>0</v>
      </c>
      <c r="AJ84" s="16">
        <f t="shared" si="80"/>
        <v>0</v>
      </c>
      <c r="AK84" s="13"/>
      <c r="AM84" s="24">
        <f aca="true" t="shared" si="81" ref="AM84:BN84">IF(C84=0,"ND",C84/(0.06413*AM$47))</f>
        <v>370.31826370663697</v>
      </c>
      <c r="AN84" s="24">
        <f t="shared" si="81"/>
        <v>370.31826370663697</v>
      </c>
      <c r="AO84" s="24">
        <f t="shared" si="81"/>
        <v>159.23114058682881</v>
      </c>
      <c r="AP84" s="24" t="str">
        <f t="shared" si="81"/>
        <v>ND</v>
      </c>
      <c r="AQ84" s="24">
        <f t="shared" si="81"/>
        <v>893.6954603001342</v>
      </c>
      <c r="AR84" s="24">
        <f t="shared" si="81"/>
        <v>1040.315496852549</v>
      </c>
      <c r="AS84" s="24">
        <f t="shared" si="81"/>
        <v>124.52783288038432</v>
      </c>
      <c r="AT84" s="24">
        <f t="shared" si="81"/>
        <v>-1.1759343001195486</v>
      </c>
      <c r="AU84" s="24">
        <f t="shared" si="81"/>
        <v>219.52046308465685</v>
      </c>
      <c r="AV84" s="24">
        <f t="shared" si="81"/>
        <v>-32.40707117293375</v>
      </c>
      <c r="AW84" s="24">
        <f t="shared" si="81"/>
        <v>-45.32848925035085</v>
      </c>
      <c r="AX84" s="24">
        <f t="shared" si="81"/>
        <v>-9.505980133360064</v>
      </c>
      <c r="AY84" s="24">
        <f t="shared" si="81"/>
        <v>750.0154388778744</v>
      </c>
      <c r="AZ84" s="24">
        <f t="shared" si="81"/>
        <v>868.7726583093863</v>
      </c>
      <c r="BA84" s="24">
        <f t="shared" si="81"/>
        <v>565.3046927789906</v>
      </c>
      <c r="BB84" s="24">
        <f t="shared" si="81"/>
        <v>651.511595528023</v>
      </c>
      <c r="BC84" s="24">
        <f t="shared" si="81"/>
        <v>2901.4992404368577</v>
      </c>
      <c r="BD84" s="24">
        <f t="shared" si="81"/>
        <v>78.48875550211876</v>
      </c>
      <c r="BE84" s="24">
        <f t="shared" si="81"/>
        <v>331.6467211249426</v>
      </c>
      <c r="BF84" s="24">
        <f t="shared" si="81"/>
        <v>764.7421715086832</v>
      </c>
      <c r="BG84" s="24">
        <f t="shared" si="81"/>
        <v>8447.709635937099</v>
      </c>
      <c r="BH84" s="24">
        <f t="shared" si="81"/>
        <v>853.7107106676789</v>
      </c>
      <c r="BI84" s="24">
        <f t="shared" si="81"/>
        <v>375.63738323568936</v>
      </c>
      <c r="BJ84" s="24">
        <f t="shared" si="81"/>
        <v>618.2721946007108</v>
      </c>
      <c r="BK84" s="24">
        <f t="shared" si="81"/>
        <v>279.8979832827776</v>
      </c>
      <c r="BL84" s="24">
        <f t="shared" si="81"/>
        <v>254.91261904024142</v>
      </c>
      <c r="BM84" s="24">
        <f t="shared" si="81"/>
        <v>312.3751175406017</v>
      </c>
      <c r="BN84" s="24">
        <f t="shared" si="81"/>
        <v>240.2546138377774</v>
      </c>
      <c r="BO84" s="13"/>
      <c r="BV84" s="31">
        <f>(SUM(AM84:BN84)-AN84-AW84)*8760/9855</f>
        <v>18719.35218134598</v>
      </c>
      <c r="BW84" s="13"/>
    </row>
    <row r="85" spans="1:75" ht="15">
      <c r="A85" s="7" t="s">
        <v>39</v>
      </c>
      <c r="B85" s="13"/>
      <c r="C85" s="16">
        <f aca="true" t="shared" si="82" ref="C85:AJ85">C84*100/C82</f>
        <v>98.9786369993302</v>
      </c>
      <c r="D85" s="16">
        <f t="shared" si="82"/>
        <v>98.9786369993302</v>
      </c>
      <c r="E85" s="16">
        <f t="shared" si="82"/>
        <v>99.22098506072874</v>
      </c>
      <c r="F85" s="16" t="e">
        <f t="shared" si="82"/>
        <v>#DIV/0!</v>
      </c>
      <c r="G85" s="16">
        <f t="shared" si="82"/>
        <v>99.3656542621259</v>
      </c>
      <c r="H85" s="16">
        <f t="shared" si="82"/>
        <v>99.62639408928571</v>
      </c>
      <c r="I85" s="16">
        <f t="shared" si="82"/>
        <v>98.65021669117647</v>
      </c>
      <c r="J85" s="16" t="e">
        <f t="shared" si="82"/>
        <v>#DIV/0!</v>
      </c>
      <c r="K85" s="16">
        <f t="shared" si="82"/>
        <v>99.164710524109</v>
      </c>
      <c r="L85" s="16" t="e">
        <f t="shared" si="82"/>
        <v>#DIV/0!</v>
      </c>
      <c r="M85" s="16" t="e">
        <f t="shared" si="82"/>
        <v>#DIV/0!</v>
      </c>
      <c r="N85" s="16" t="e">
        <f t="shared" si="82"/>
        <v>#DIV/0!</v>
      </c>
      <c r="O85" s="16">
        <f t="shared" si="82"/>
        <v>98.543248</v>
      </c>
      <c r="P85" s="16">
        <f t="shared" si="82"/>
        <v>98.16484128998425</v>
      </c>
      <c r="Q85" s="16">
        <f t="shared" si="82"/>
        <v>98.17452849083216</v>
      </c>
      <c r="R85" s="16">
        <f t="shared" si="82"/>
        <v>97.96003371225576</v>
      </c>
      <c r="S85" s="16">
        <f t="shared" si="82"/>
        <v>98.08506936175712</v>
      </c>
      <c r="T85" s="16">
        <f t="shared" si="82"/>
        <v>98.50938429184549</v>
      </c>
      <c r="U85" s="16">
        <f t="shared" si="82"/>
        <v>98.90050307550645</v>
      </c>
      <c r="V85" s="16">
        <f t="shared" si="82"/>
        <v>99.09628683322516</v>
      </c>
      <c r="W85" s="16">
        <f t="shared" si="82"/>
        <v>99.89667225024398</v>
      </c>
      <c r="X85" s="16">
        <f t="shared" si="82"/>
        <v>99.22690422496571</v>
      </c>
      <c r="Y85" s="16">
        <f t="shared" si="82"/>
        <v>99.31428380368098</v>
      </c>
      <c r="Z85" s="16">
        <f t="shared" si="82"/>
        <v>98.80779793929713</v>
      </c>
      <c r="AA85" s="16">
        <f t="shared" si="82"/>
        <v>99.09817254166667</v>
      </c>
      <c r="AB85" s="16">
        <f t="shared" si="82"/>
        <v>100</v>
      </c>
      <c r="AC85" s="16">
        <f t="shared" si="82"/>
        <v>98.85253644859814</v>
      </c>
      <c r="AD85" s="16">
        <f t="shared" si="82"/>
        <v>99.10370016750419</v>
      </c>
      <c r="AE85" s="16" t="e">
        <f t="shared" si="82"/>
        <v>#DIV/0!</v>
      </c>
      <c r="AF85" s="16" t="e">
        <f t="shared" si="82"/>
        <v>#DIV/0!</v>
      </c>
      <c r="AG85" s="16" t="e">
        <f t="shared" si="82"/>
        <v>#DIV/0!</v>
      </c>
      <c r="AH85" s="16" t="e">
        <f t="shared" si="82"/>
        <v>#DIV/0!</v>
      </c>
      <c r="AI85" s="16" t="e">
        <f t="shared" si="82"/>
        <v>#DIV/0!</v>
      </c>
      <c r="AJ85" s="16" t="e">
        <f t="shared" si="82"/>
        <v>#DIV/0!</v>
      </c>
      <c r="AK85" s="13"/>
      <c r="AM85" s="25" t="s">
        <v>73</v>
      </c>
      <c r="AN85" s="25" t="s">
        <v>73</v>
      </c>
      <c r="AO85" s="25" t="s">
        <v>73</v>
      </c>
      <c r="AP85" s="25" t="s">
        <v>73</v>
      </c>
      <c r="AQ85" s="25" t="s">
        <v>73</v>
      </c>
      <c r="AR85" s="25" t="s">
        <v>73</v>
      </c>
      <c r="AS85" s="25" t="s">
        <v>73</v>
      </c>
      <c r="AT85" s="25" t="s">
        <v>73</v>
      </c>
      <c r="AU85" s="25" t="s">
        <v>73</v>
      </c>
      <c r="AV85" s="25" t="s">
        <v>73</v>
      </c>
      <c r="AW85" s="25" t="s">
        <v>73</v>
      </c>
      <c r="AX85" s="25" t="s">
        <v>73</v>
      </c>
      <c r="AY85" s="25" t="s">
        <v>73</v>
      </c>
      <c r="AZ85" s="25" t="s">
        <v>73</v>
      </c>
      <c r="BA85" s="25" t="s">
        <v>73</v>
      </c>
      <c r="BB85" s="25" t="s">
        <v>73</v>
      </c>
      <c r="BC85" s="25" t="s">
        <v>73</v>
      </c>
      <c r="BD85" s="25" t="s">
        <v>73</v>
      </c>
      <c r="BE85" s="25" t="s">
        <v>73</v>
      </c>
      <c r="BF85" s="25" t="s">
        <v>73</v>
      </c>
      <c r="BG85" s="25" t="s">
        <v>73</v>
      </c>
      <c r="BH85" s="25" t="s">
        <v>73</v>
      </c>
      <c r="BI85" s="25" t="s">
        <v>73</v>
      </c>
      <c r="BJ85" s="25" t="s">
        <v>73</v>
      </c>
      <c r="BK85" s="25" t="s">
        <v>73</v>
      </c>
      <c r="BL85" s="25" t="s">
        <v>73</v>
      </c>
      <c r="BM85" s="25" t="s">
        <v>73</v>
      </c>
      <c r="BN85" s="25" t="s">
        <v>73</v>
      </c>
      <c r="BO85" s="13"/>
      <c r="BV85" s="28" t="s">
        <v>73</v>
      </c>
      <c r="BW85" s="13"/>
    </row>
    <row r="86" spans="1:74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V86" s="8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2004-12-07T21:22:46Z</dcterms:created>
  <dcterms:modified xsi:type="dcterms:W3CDTF">2004-12-07T22:08:28Z</dcterms:modified>
  <cp:category/>
  <cp:version/>
  <cp:contentType/>
  <cp:contentStatus/>
</cp:coreProperties>
</file>