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INAA Particulates" sheetId="1" r:id="rId1"/>
  </sheets>
  <definedNames>
    <definedName name="_Regression_Int" localSheetId="0" hidden="1">1</definedName>
    <definedName name="_xlnm.Print_Area" localSheetId="0">'INAA Particulates'!$R$77:$X$105</definedName>
    <definedName name="Print_Area_MI" localSheetId="0">'INAA Particulates'!$R$77:$X$105</definedName>
    <definedName name="_xlnm.Print_Titles" localSheetId="0">'INAA Particulates'!$A:$A</definedName>
    <definedName name="Print_Titles_MI" localSheetId="0">'INAA Particulates'!$A:$A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<sst xmlns="http://schemas.openxmlformats.org/spreadsheetml/2006/main" count="274" uniqueCount="99">
  <si>
    <t>Nahant PM-10 Samples (Fine Sample mass (ng))</t>
  </si>
  <si>
    <t>Sample ID</t>
  </si>
  <si>
    <t>Date</t>
  </si>
  <si>
    <t>Time (hrs)</t>
  </si>
  <si>
    <t>Rain (in)</t>
  </si>
  <si>
    <t>Fe</t>
  </si>
  <si>
    <t>Na</t>
  </si>
  <si>
    <t>K</t>
  </si>
  <si>
    <t>Cs</t>
  </si>
  <si>
    <t>Sc</t>
  </si>
  <si>
    <t>Cr</t>
  </si>
  <si>
    <t>Co</t>
  </si>
  <si>
    <t>Zn</t>
  </si>
  <si>
    <t>Ag</t>
  </si>
  <si>
    <t>Br</t>
  </si>
  <si>
    <t>As</t>
  </si>
  <si>
    <t>Sb</t>
  </si>
  <si>
    <t>Se</t>
  </si>
  <si>
    <t>La</t>
  </si>
  <si>
    <t>Ce</t>
  </si>
  <si>
    <t>Nd</t>
  </si>
  <si>
    <t>Sm</t>
  </si>
  <si>
    <t>Eu</t>
  </si>
  <si>
    <t>Gd</t>
  </si>
  <si>
    <t>Tb</t>
  </si>
  <si>
    <t>Tm</t>
  </si>
  <si>
    <t>Yb</t>
  </si>
  <si>
    <t>Hf</t>
  </si>
  <si>
    <t>Ta</t>
  </si>
  <si>
    <t>Ir</t>
  </si>
  <si>
    <t>Th</t>
  </si>
  <si>
    <t xml:space="preserve">Rb </t>
  </si>
  <si>
    <t>Total Mass</t>
  </si>
  <si>
    <t>Nahant PM-10 Samples  (Coarse sample mass (ng))</t>
  </si>
  <si>
    <t>Rb</t>
  </si>
  <si>
    <t>001, 002</t>
  </si>
  <si>
    <t>7/22/92</t>
  </si>
  <si>
    <t>300, 301</t>
  </si>
  <si>
    <t>008, 009</t>
  </si>
  <si>
    <t>8/19/92</t>
  </si>
  <si>
    <t>309, 310</t>
  </si>
  <si>
    <t>014, 016</t>
  </si>
  <si>
    <t>9/16/92</t>
  </si>
  <si>
    <t>314, 317</t>
  </si>
  <si>
    <t>020, 021</t>
  </si>
  <si>
    <t>10/14/92</t>
  </si>
  <si>
    <t>320, 321</t>
  </si>
  <si>
    <t>024</t>
  </si>
  <si>
    <t>11/10/92</t>
  </si>
  <si>
    <t>324</t>
  </si>
  <si>
    <t>026</t>
  </si>
  <si>
    <t>12/7/92</t>
  </si>
  <si>
    <t>326</t>
  </si>
  <si>
    <t>028</t>
  </si>
  <si>
    <t>1/6/93</t>
  </si>
  <si>
    <t>328</t>
  </si>
  <si>
    <t>030</t>
  </si>
  <si>
    <t>2/2/93</t>
  </si>
  <si>
    <t>330</t>
  </si>
  <si>
    <t>032</t>
  </si>
  <si>
    <t>3/2/93</t>
  </si>
  <si>
    <t>332</t>
  </si>
  <si>
    <t>034</t>
  </si>
  <si>
    <t>3/30/93</t>
  </si>
  <si>
    <t>334</t>
  </si>
  <si>
    <t>036</t>
  </si>
  <si>
    <t>4/27/93</t>
  </si>
  <si>
    <t>336</t>
  </si>
  <si>
    <t>038</t>
  </si>
  <si>
    <t>5/26/93</t>
  </si>
  <si>
    <t>338</t>
  </si>
  <si>
    <t>040</t>
  </si>
  <si>
    <t>6/23/93</t>
  </si>
  <si>
    <t>340</t>
  </si>
  <si>
    <t>044</t>
  </si>
  <si>
    <t>7/22/93</t>
  </si>
  <si>
    <t>344</t>
  </si>
  <si>
    <t>045, 046</t>
  </si>
  <si>
    <t>8/4/93</t>
  </si>
  <si>
    <t>345, 346</t>
  </si>
  <si>
    <t>049</t>
  </si>
  <si>
    <t>9/1/93</t>
  </si>
  <si>
    <t>349</t>
  </si>
  <si>
    <t>Element</t>
  </si>
  <si>
    <t xml:space="preserve"> </t>
  </si>
  <si>
    <t>Nahant Fine Ambient Atmospheric Concentration (ng/m3)</t>
  </si>
  <si>
    <t>Blank</t>
  </si>
  <si>
    <t>% Metals</t>
  </si>
  <si>
    <t>Nahant Coarse Ambient Atmospheric Concentration (ng/m3)</t>
  </si>
  <si>
    <t>x</t>
  </si>
  <si>
    <t>Avg Conc</t>
  </si>
  <si>
    <t>Avg % Fine</t>
  </si>
  <si>
    <t>Avg Fine</t>
  </si>
  <si>
    <t>Avg Coarse</t>
  </si>
  <si>
    <t>Nahant Fine Deposition Rate (ng/m2-hr) [using 0.00025 m/s Vd]</t>
  </si>
  <si>
    <t>Ga</t>
  </si>
  <si>
    <t>Nahant Coarse Deposition Rate (ng/m2-hr)  [using 0.05 m/s Vd]</t>
  </si>
  <si>
    <t xml:space="preserve">Nahant Total Deposition Rate (ng/m2-hr) </t>
  </si>
  <si>
    <t>Avg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</si>
</sst>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_)"/>
    <numFmt numFmtId="165" formatCode="0.00_)"/>
    <numFmt numFmtId="166" formatCode="0.0_)"/>
    <numFmt numFmtId="167" formatCode="0_)"/>
    <numFmt numFmtId="168" formatCode="0.000_)"/>
  </numFmts>
  <fonts count="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 applyProtection="1">
      <alignment/>
      <protection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X116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796875" defaultRowHeight="15"/>
  <cols>
    <col min="1" max="1" width="10.796875" style="0" customWidth="1"/>
    <col min="19" max="19" width="6.796875" style="0" customWidth="1"/>
    <col min="37" max="37" width="1.796875" style="0" customWidth="1"/>
    <col min="55" max="55" width="1.796875" style="0" customWidth="1"/>
    <col min="74" max="74" width="11.796875" style="0" customWidth="1"/>
    <col min="76" max="76" width="10.796875" style="0" customWidth="1"/>
  </cols>
  <sheetData>
    <row r="1" spans="1:55" ht="15.75" thickBot="1">
      <c r="A1" s="1" t="s">
        <v>0</v>
      </c>
      <c r="S1" s="1" t="s">
        <v>85</v>
      </c>
      <c r="AK1" s="1" t="s">
        <v>94</v>
      </c>
      <c r="BC1" s="1" t="s">
        <v>97</v>
      </c>
    </row>
    <row r="2" spans="1:72" ht="15.75" thickTop="1">
      <c r="A2" s="12" t="s">
        <v>1</v>
      </c>
      <c r="B2" s="15" t="s">
        <v>35</v>
      </c>
      <c r="C2" s="21" t="s">
        <v>38</v>
      </c>
      <c r="D2" s="21" t="s">
        <v>41</v>
      </c>
      <c r="E2" s="21" t="s">
        <v>44</v>
      </c>
      <c r="F2" s="21" t="s">
        <v>47</v>
      </c>
      <c r="G2" s="21" t="s">
        <v>50</v>
      </c>
      <c r="H2" s="21" t="s">
        <v>53</v>
      </c>
      <c r="I2" s="21" t="s">
        <v>56</v>
      </c>
      <c r="J2" s="21" t="s">
        <v>59</v>
      </c>
      <c r="K2" s="21" t="s">
        <v>62</v>
      </c>
      <c r="L2" s="21" t="s">
        <v>65</v>
      </c>
      <c r="M2" s="21" t="s">
        <v>68</v>
      </c>
      <c r="N2" s="21" t="s">
        <v>71</v>
      </c>
      <c r="O2" s="21" t="s">
        <v>74</v>
      </c>
      <c r="P2" s="21" t="s">
        <v>77</v>
      </c>
      <c r="Q2" s="21" t="s">
        <v>80</v>
      </c>
      <c r="R2" s="25"/>
      <c r="S2" s="12" t="s">
        <v>86</v>
      </c>
      <c r="T2" s="19" t="str">
        <f aca="true" t="shared" si="0" ref="T2:AI5">B2</f>
        <v>001, 002</v>
      </c>
      <c r="U2" s="26" t="str">
        <f t="shared" si="0"/>
        <v>008, 009</v>
      </c>
      <c r="V2" s="26" t="str">
        <f t="shared" si="0"/>
        <v>014, 016</v>
      </c>
      <c r="W2" s="26" t="str">
        <f t="shared" si="0"/>
        <v>020, 021</v>
      </c>
      <c r="X2" s="26" t="str">
        <f t="shared" si="0"/>
        <v>024</v>
      </c>
      <c r="Y2" s="26" t="str">
        <f t="shared" si="0"/>
        <v>026</v>
      </c>
      <c r="Z2" s="26" t="str">
        <f t="shared" si="0"/>
        <v>028</v>
      </c>
      <c r="AA2" s="26" t="str">
        <f t="shared" si="0"/>
        <v>030</v>
      </c>
      <c r="AB2" s="26" t="str">
        <f t="shared" si="0"/>
        <v>032</v>
      </c>
      <c r="AC2" s="26" t="str">
        <f t="shared" si="0"/>
        <v>034</v>
      </c>
      <c r="AD2" s="26" t="str">
        <f t="shared" si="0"/>
        <v>036</v>
      </c>
      <c r="AE2" s="26" t="str">
        <f t="shared" si="0"/>
        <v>038</v>
      </c>
      <c r="AF2" s="26" t="str">
        <f t="shared" si="0"/>
        <v>040</v>
      </c>
      <c r="AG2" s="26" t="str">
        <f t="shared" si="0"/>
        <v>044</v>
      </c>
      <c r="AH2" s="26" t="str">
        <f t="shared" si="0"/>
        <v>045, 046</v>
      </c>
      <c r="AI2" s="26" t="str">
        <f t="shared" si="0"/>
        <v>049</v>
      </c>
      <c r="AJ2" s="25"/>
      <c r="AK2" s="12" t="s">
        <v>1</v>
      </c>
      <c r="AL2" s="19" t="str">
        <f aca="true" t="shared" si="1" ref="AL2:BA5">T2</f>
        <v>001, 002</v>
      </c>
      <c r="AM2" s="26" t="str">
        <f t="shared" si="1"/>
        <v>008, 009</v>
      </c>
      <c r="AN2" s="26" t="str">
        <f t="shared" si="1"/>
        <v>014, 016</v>
      </c>
      <c r="AO2" s="26" t="str">
        <f t="shared" si="1"/>
        <v>020, 021</v>
      </c>
      <c r="AP2" s="26" t="str">
        <f t="shared" si="1"/>
        <v>024</v>
      </c>
      <c r="AQ2" s="26" t="str">
        <f t="shared" si="1"/>
        <v>026</v>
      </c>
      <c r="AR2" s="26" t="str">
        <f t="shared" si="1"/>
        <v>028</v>
      </c>
      <c r="AS2" s="26" t="str">
        <f t="shared" si="1"/>
        <v>030</v>
      </c>
      <c r="AT2" s="26" t="str">
        <f t="shared" si="1"/>
        <v>032</v>
      </c>
      <c r="AU2" s="26" t="str">
        <f t="shared" si="1"/>
        <v>034</v>
      </c>
      <c r="AV2" s="26" t="str">
        <f t="shared" si="1"/>
        <v>036</v>
      </c>
      <c r="AW2" s="26" t="str">
        <f t="shared" si="1"/>
        <v>038</v>
      </c>
      <c r="AX2" s="26" t="str">
        <f t="shared" si="1"/>
        <v>040</v>
      </c>
      <c r="AY2" s="26" t="str">
        <f t="shared" si="1"/>
        <v>044</v>
      </c>
      <c r="AZ2" s="26" t="str">
        <f t="shared" si="1"/>
        <v>045, 046</v>
      </c>
      <c r="BA2" s="26" t="str">
        <f t="shared" si="1"/>
        <v>049</v>
      </c>
      <c r="BB2" s="25"/>
      <c r="BC2" s="12" t="s">
        <v>1</v>
      </c>
      <c r="BD2" s="19" t="str">
        <f aca="true" t="shared" si="2" ref="BD2:BS5">AL2</f>
        <v>001, 002</v>
      </c>
      <c r="BE2" s="26" t="str">
        <f t="shared" si="2"/>
        <v>008, 009</v>
      </c>
      <c r="BF2" s="26" t="str">
        <f t="shared" si="2"/>
        <v>014, 016</v>
      </c>
      <c r="BG2" s="26" t="str">
        <f t="shared" si="2"/>
        <v>020, 021</v>
      </c>
      <c r="BH2" s="26" t="str">
        <f t="shared" si="2"/>
        <v>024</v>
      </c>
      <c r="BI2" s="26" t="str">
        <f t="shared" si="2"/>
        <v>026</v>
      </c>
      <c r="BJ2" s="26" t="str">
        <f t="shared" si="2"/>
        <v>028</v>
      </c>
      <c r="BK2" s="26" t="str">
        <f t="shared" si="2"/>
        <v>030</v>
      </c>
      <c r="BL2" s="26" t="str">
        <f t="shared" si="2"/>
        <v>032</v>
      </c>
      <c r="BM2" s="26" t="str">
        <f t="shared" si="2"/>
        <v>034</v>
      </c>
      <c r="BN2" s="26" t="str">
        <f t="shared" si="2"/>
        <v>036</v>
      </c>
      <c r="BO2" s="26" t="str">
        <f t="shared" si="2"/>
        <v>038</v>
      </c>
      <c r="BP2" s="26" t="str">
        <f t="shared" si="2"/>
        <v>040</v>
      </c>
      <c r="BQ2" s="26" t="str">
        <f t="shared" si="2"/>
        <v>044</v>
      </c>
      <c r="BR2" s="26" t="str">
        <f t="shared" si="2"/>
        <v>045, 046</v>
      </c>
      <c r="BS2" s="26" t="str">
        <f t="shared" si="2"/>
        <v>049</v>
      </c>
      <c r="BT2" s="25"/>
    </row>
    <row r="3" spans="1:72" ht="15">
      <c r="A3" s="13" t="s">
        <v>2</v>
      </c>
      <c r="B3" s="13" t="s">
        <v>36</v>
      </c>
      <c r="C3" s="22" t="s">
        <v>39</v>
      </c>
      <c r="D3" s="22" t="s">
        <v>42</v>
      </c>
      <c r="E3" s="22" t="s">
        <v>45</v>
      </c>
      <c r="F3" s="22" t="s">
        <v>48</v>
      </c>
      <c r="G3" s="22" t="s">
        <v>51</v>
      </c>
      <c r="H3" s="22" t="s">
        <v>54</v>
      </c>
      <c r="I3" s="22" t="s">
        <v>57</v>
      </c>
      <c r="J3" s="22" t="s">
        <v>60</v>
      </c>
      <c r="K3" s="22" t="s">
        <v>63</v>
      </c>
      <c r="L3" s="22" t="s">
        <v>66</v>
      </c>
      <c r="M3" s="22" t="s">
        <v>69</v>
      </c>
      <c r="N3" s="22" t="s">
        <v>72</v>
      </c>
      <c r="O3" s="22" t="s">
        <v>75</v>
      </c>
      <c r="P3" s="22" t="s">
        <v>78</v>
      </c>
      <c r="Q3" s="22" t="s">
        <v>81</v>
      </c>
      <c r="R3" s="25"/>
      <c r="S3" s="13" t="s">
        <v>84</v>
      </c>
      <c r="T3" s="17" t="str">
        <f t="shared" si="0"/>
        <v>7/22/92</v>
      </c>
      <c r="U3" s="23" t="str">
        <f t="shared" si="0"/>
        <v>8/19/92</v>
      </c>
      <c r="V3" s="23" t="str">
        <f t="shared" si="0"/>
        <v>9/16/92</v>
      </c>
      <c r="W3" s="23" t="str">
        <f t="shared" si="0"/>
        <v>10/14/92</v>
      </c>
      <c r="X3" s="23" t="str">
        <f t="shared" si="0"/>
        <v>11/10/92</v>
      </c>
      <c r="Y3" s="23" t="str">
        <f t="shared" si="0"/>
        <v>12/7/92</v>
      </c>
      <c r="Z3" s="23" t="str">
        <f t="shared" si="0"/>
        <v>1/6/93</v>
      </c>
      <c r="AA3" s="23" t="str">
        <f t="shared" si="0"/>
        <v>2/2/93</v>
      </c>
      <c r="AB3" s="23" t="str">
        <f t="shared" si="0"/>
        <v>3/2/93</v>
      </c>
      <c r="AC3" s="23" t="str">
        <f t="shared" si="0"/>
        <v>3/30/93</v>
      </c>
      <c r="AD3" s="23" t="str">
        <f t="shared" si="0"/>
        <v>4/27/93</v>
      </c>
      <c r="AE3" s="23" t="str">
        <f t="shared" si="0"/>
        <v>5/26/93</v>
      </c>
      <c r="AF3" s="23" t="str">
        <f t="shared" si="0"/>
        <v>6/23/93</v>
      </c>
      <c r="AG3" s="23" t="str">
        <f t="shared" si="0"/>
        <v>7/22/93</v>
      </c>
      <c r="AH3" s="23" t="str">
        <f t="shared" si="0"/>
        <v>8/4/93</v>
      </c>
      <c r="AI3" s="23" t="str">
        <f t="shared" si="0"/>
        <v>9/1/93</v>
      </c>
      <c r="AJ3" s="25"/>
      <c r="AK3" s="13" t="s">
        <v>2</v>
      </c>
      <c r="AL3" s="17" t="str">
        <f t="shared" si="1"/>
        <v>7/22/92</v>
      </c>
      <c r="AM3" s="23" t="str">
        <f t="shared" si="1"/>
        <v>8/19/92</v>
      </c>
      <c r="AN3" s="23" t="str">
        <f t="shared" si="1"/>
        <v>9/16/92</v>
      </c>
      <c r="AO3" s="23" t="str">
        <f t="shared" si="1"/>
        <v>10/14/92</v>
      </c>
      <c r="AP3" s="23" t="str">
        <f t="shared" si="1"/>
        <v>11/10/92</v>
      </c>
      <c r="AQ3" s="23" t="str">
        <f t="shared" si="1"/>
        <v>12/7/92</v>
      </c>
      <c r="AR3" s="23" t="str">
        <f t="shared" si="1"/>
        <v>1/6/93</v>
      </c>
      <c r="AS3" s="23" t="str">
        <f t="shared" si="1"/>
        <v>2/2/93</v>
      </c>
      <c r="AT3" s="23" t="str">
        <f t="shared" si="1"/>
        <v>3/2/93</v>
      </c>
      <c r="AU3" s="23" t="str">
        <f t="shared" si="1"/>
        <v>3/30/93</v>
      </c>
      <c r="AV3" s="23" t="str">
        <f t="shared" si="1"/>
        <v>4/27/93</v>
      </c>
      <c r="AW3" s="23" t="str">
        <f t="shared" si="1"/>
        <v>5/26/93</v>
      </c>
      <c r="AX3" s="23" t="str">
        <f t="shared" si="1"/>
        <v>6/23/93</v>
      </c>
      <c r="AY3" s="23" t="str">
        <f t="shared" si="1"/>
        <v>7/22/93</v>
      </c>
      <c r="AZ3" s="23" t="str">
        <f t="shared" si="1"/>
        <v>8/4/93</v>
      </c>
      <c r="BA3" s="23" t="str">
        <f t="shared" si="1"/>
        <v>9/1/93</v>
      </c>
      <c r="BB3" s="25"/>
      <c r="BC3" s="13" t="s">
        <v>2</v>
      </c>
      <c r="BD3" s="17" t="str">
        <f t="shared" si="2"/>
        <v>7/22/92</v>
      </c>
      <c r="BE3" s="23" t="str">
        <f t="shared" si="2"/>
        <v>8/19/92</v>
      </c>
      <c r="BF3" s="23" t="str">
        <f t="shared" si="2"/>
        <v>9/16/92</v>
      </c>
      <c r="BG3" s="23" t="str">
        <f t="shared" si="2"/>
        <v>10/14/92</v>
      </c>
      <c r="BH3" s="23" t="str">
        <f t="shared" si="2"/>
        <v>11/10/92</v>
      </c>
      <c r="BI3" s="23" t="str">
        <f t="shared" si="2"/>
        <v>12/7/92</v>
      </c>
      <c r="BJ3" s="23" t="str">
        <f t="shared" si="2"/>
        <v>1/6/93</v>
      </c>
      <c r="BK3" s="23" t="str">
        <f t="shared" si="2"/>
        <v>2/2/93</v>
      </c>
      <c r="BL3" s="23" t="str">
        <f t="shared" si="2"/>
        <v>3/2/93</v>
      </c>
      <c r="BM3" s="23" t="str">
        <f t="shared" si="2"/>
        <v>3/30/93</v>
      </c>
      <c r="BN3" s="23" t="str">
        <f t="shared" si="2"/>
        <v>4/27/93</v>
      </c>
      <c r="BO3" s="23" t="str">
        <f t="shared" si="2"/>
        <v>5/26/93</v>
      </c>
      <c r="BP3" s="23" t="str">
        <f t="shared" si="2"/>
        <v>6/23/93</v>
      </c>
      <c r="BQ3" s="23" t="str">
        <f t="shared" si="2"/>
        <v>7/22/93</v>
      </c>
      <c r="BR3" s="23" t="str">
        <f t="shared" si="2"/>
        <v>8/4/93</v>
      </c>
      <c r="BS3" s="23" t="str">
        <f t="shared" si="2"/>
        <v>9/1/93</v>
      </c>
      <c r="BT3" s="25"/>
    </row>
    <row r="4" spans="1:72" ht="15">
      <c r="A4" s="13" t="s">
        <v>3</v>
      </c>
      <c r="B4" s="17">
        <v>360</v>
      </c>
      <c r="C4" s="23">
        <v>335.2</v>
      </c>
      <c r="D4" s="23">
        <v>206.1</v>
      </c>
      <c r="E4" s="23">
        <v>312.2</v>
      </c>
      <c r="F4" s="23">
        <v>317.1</v>
      </c>
      <c r="G4" s="23">
        <v>117</v>
      </c>
      <c r="H4" s="23">
        <v>335.2</v>
      </c>
      <c r="I4" s="23">
        <v>207.3</v>
      </c>
      <c r="J4" s="23">
        <v>335.5</v>
      </c>
      <c r="K4" s="23">
        <v>357.8</v>
      </c>
      <c r="L4" s="23">
        <v>382</v>
      </c>
      <c r="M4" s="23">
        <v>337.6</v>
      </c>
      <c r="N4" s="23">
        <v>339.5</v>
      </c>
      <c r="O4" s="23">
        <v>315</v>
      </c>
      <c r="P4" s="23">
        <v>334.1</v>
      </c>
      <c r="Q4" s="23">
        <v>308.6</v>
      </c>
      <c r="R4" s="25"/>
      <c r="S4" s="13" t="s">
        <v>84</v>
      </c>
      <c r="T4" s="17">
        <f t="shared" si="0"/>
        <v>360</v>
      </c>
      <c r="U4" s="23">
        <f t="shared" si="0"/>
        <v>335.2</v>
      </c>
      <c r="V4" s="23">
        <f t="shared" si="0"/>
        <v>206.1</v>
      </c>
      <c r="W4" s="23">
        <f t="shared" si="0"/>
        <v>312.2</v>
      </c>
      <c r="X4" s="23">
        <f t="shared" si="0"/>
        <v>317.1</v>
      </c>
      <c r="Y4" s="23">
        <f t="shared" si="0"/>
        <v>117</v>
      </c>
      <c r="Z4" s="23">
        <f t="shared" si="0"/>
        <v>335.2</v>
      </c>
      <c r="AA4" s="23">
        <f t="shared" si="0"/>
        <v>207.3</v>
      </c>
      <c r="AB4" s="23">
        <f t="shared" si="0"/>
        <v>335.5</v>
      </c>
      <c r="AC4" s="23">
        <f t="shared" si="0"/>
        <v>357.8</v>
      </c>
      <c r="AD4" s="23">
        <f t="shared" si="0"/>
        <v>382</v>
      </c>
      <c r="AE4" s="23">
        <f t="shared" si="0"/>
        <v>337.6</v>
      </c>
      <c r="AF4" s="23">
        <f t="shared" si="0"/>
        <v>339.5</v>
      </c>
      <c r="AG4" s="23">
        <f t="shared" si="0"/>
        <v>315</v>
      </c>
      <c r="AH4" s="23">
        <f t="shared" si="0"/>
        <v>334.1</v>
      </c>
      <c r="AI4" s="23">
        <f t="shared" si="0"/>
        <v>308.6</v>
      </c>
      <c r="AJ4" s="25"/>
      <c r="AK4" s="13" t="s">
        <v>3</v>
      </c>
      <c r="AL4" s="17">
        <f t="shared" si="1"/>
        <v>360</v>
      </c>
      <c r="AM4" s="23">
        <f t="shared" si="1"/>
        <v>335.2</v>
      </c>
      <c r="AN4" s="23">
        <f t="shared" si="1"/>
        <v>206.1</v>
      </c>
      <c r="AO4" s="23">
        <f t="shared" si="1"/>
        <v>312.2</v>
      </c>
      <c r="AP4" s="23">
        <f t="shared" si="1"/>
        <v>317.1</v>
      </c>
      <c r="AQ4" s="23">
        <f t="shared" si="1"/>
        <v>117</v>
      </c>
      <c r="AR4" s="23">
        <f t="shared" si="1"/>
        <v>335.2</v>
      </c>
      <c r="AS4" s="23">
        <f t="shared" si="1"/>
        <v>207.3</v>
      </c>
      <c r="AT4" s="23">
        <f t="shared" si="1"/>
        <v>335.5</v>
      </c>
      <c r="AU4" s="23">
        <f t="shared" si="1"/>
        <v>357.8</v>
      </c>
      <c r="AV4" s="23">
        <f t="shared" si="1"/>
        <v>382</v>
      </c>
      <c r="AW4" s="23">
        <f t="shared" si="1"/>
        <v>337.6</v>
      </c>
      <c r="AX4" s="23">
        <f t="shared" si="1"/>
        <v>339.5</v>
      </c>
      <c r="AY4" s="23">
        <f t="shared" si="1"/>
        <v>315</v>
      </c>
      <c r="AZ4" s="23">
        <f t="shared" si="1"/>
        <v>334.1</v>
      </c>
      <c r="BA4" s="23">
        <f t="shared" si="1"/>
        <v>308.6</v>
      </c>
      <c r="BB4" s="25"/>
      <c r="BC4" s="13" t="s">
        <v>3</v>
      </c>
      <c r="BD4" s="17">
        <f t="shared" si="2"/>
        <v>360</v>
      </c>
      <c r="BE4" s="23">
        <f t="shared" si="2"/>
        <v>335.2</v>
      </c>
      <c r="BF4" s="23">
        <f t="shared" si="2"/>
        <v>206.1</v>
      </c>
      <c r="BG4" s="23">
        <f t="shared" si="2"/>
        <v>312.2</v>
      </c>
      <c r="BH4" s="23">
        <f t="shared" si="2"/>
        <v>317.1</v>
      </c>
      <c r="BI4" s="23">
        <f t="shared" si="2"/>
        <v>117</v>
      </c>
      <c r="BJ4" s="23">
        <f t="shared" si="2"/>
        <v>335.2</v>
      </c>
      <c r="BK4" s="23">
        <f t="shared" si="2"/>
        <v>207.3</v>
      </c>
      <c r="BL4" s="23">
        <f t="shared" si="2"/>
        <v>335.5</v>
      </c>
      <c r="BM4" s="23">
        <f t="shared" si="2"/>
        <v>357.8</v>
      </c>
      <c r="BN4" s="23">
        <f t="shared" si="2"/>
        <v>382</v>
      </c>
      <c r="BO4" s="23">
        <f t="shared" si="2"/>
        <v>337.6</v>
      </c>
      <c r="BP4" s="23">
        <f t="shared" si="2"/>
        <v>339.5</v>
      </c>
      <c r="BQ4" s="23">
        <f t="shared" si="2"/>
        <v>315</v>
      </c>
      <c r="BR4" s="23">
        <f t="shared" si="2"/>
        <v>334.1</v>
      </c>
      <c r="BS4" s="23">
        <f t="shared" si="2"/>
        <v>308.6</v>
      </c>
      <c r="BT4" s="25"/>
    </row>
    <row r="5" spans="1:76" ht="15">
      <c r="A5" s="13" t="s">
        <v>4</v>
      </c>
      <c r="B5" s="17">
        <v>1.07</v>
      </c>
      <c r="C5" s="23">
        <v>0.03</v>
      </c>
      <c r="D5" s="23">
        <v>1.09</v>
      </c>
      <c r="E5" s="23">
        <v>0.66</v>
      </c>
      <c r="F5" s="23">
        <v>3.22</v>
      </c>
      <c r="G5" s="23">
        <v>7.99</v>
      </c>
      <c r="H5" s="23">
        <v>0.81</v>
      </c>
      <c r="I5" s="23">
        <v>3.24</v>
      </c>
      <c r="J5" s="23">
        <v>1.77</v>
      </c>
      <c r="K5" s="23">
        <v>2.65</v>
      </c>
      <c r="L5" s="23">
        <v>0.12</v>
      </c>
      <c r="M5" s="23">
        <v>1.25</v>
      </c>
      <c r="N5" s="23">
        <v>0.26</v>
      </c>
      <c r="O5" s="23">
        <v>0.97</v>
      </c>
      <c r="P5" s="23">
        <v>0.63</v>
      </c>
      <c r="Q5" s="23">
        <v>1.46</v>
      </c>
      <c r="R5" s="25"/>
      <c r="S5" s="13" t="s">
        <v>84</v>
      </c>
      <c r="T5" s="17">
        <f t="shared" si="0"/>
        <v>1.07</v>
      </c>
      <c r="U5" s="23">
        <f t="shared" si="0"/>
        <v>0.03</v>
      </c>
      <c r="V5" s="23">
        <f t="shared" si="0"/>
        <v>1.09</v>
      </c>
      <c r="W5" s="23">
        <f t="shared" si="0"/>
        <v>0.66</v>
      </c>
      <c r="X5" s="23">
        <f t="shared" si="0"/>
        <v>3.22</v>
      </c>
      <c r="Y5" s="23">
        <f t="shared" si="0"/>
        <v>7.99</v>
      </c>
      <c r="Z5" s="23">
        <f t="shared" si="0"/>
        <v>0.81</v>
      </c>
      <c r="AA5" s="23">
        <f t="shared" si="0"/>
        <v>3.24</v>
      </c>
      <c r="AB5" s="23">
        <f t="shared" si="0"/>
        <v>1.77</v>
      </c>
      <c r="AC5" s="23">
        <f t="shared" si="0"/>
        <v>2.65</v>
      </c>
      <c r="AD5" s="23">
        <f t="shared" si="0"/>
        <v>0.12</v>
      </c>
      <c r="AE5" s="23">
        <f t="shared" si="0"/>
        <v>1.25</v>
      </c>
      <c r="AF5" s="23">
        <f t="shared" si="0"/>
        <v>0.26</v>
      </c>
      <c r="AG5" s="23">
        <f t="shared" si="0"/>
        <v>0.97</v>
      </c>
      <c r="AH5" s="23">
        <f t="shared" si="0"/>
        <v>0.63</v>
      </c>
      <c r="AI5" s="23">
        <f t="shared" si="0"/>
        <v>1.46</v>
      </c>
      <c r="AJ5" s="25"/>
      <c r="AK5" s="13" t="s">
        <v>4</v>
      </c>
      <c r="AL5" s="17">
        <f t="shared" si="1"/>
        <v>1.07</v>
      </c>
      <c r="AM5" s="23">
        <f t="shared" si="1"/>
        <v>0.03</v>
      </c>
      <c r="AN5" s="23">
        <f t="shared" si="1"/>
        <v>1.09</v>
      </c>
      <c r="AO5" s="23">
        <f t="shared" si="1"/>
        <v>0.66</v>
      </c>
      <c r="AP5" s="23">
        <f t="shared" si="1"/>
        <v>3.22</v>
      </c>
      <c r="AQ5" s="23">
        <f t="shared" si="1"/>
        <v>7.99</v>
      </c>
      <c r="AR5" s="23">
        <f t="shared" si="1"/>
        <v>0.81</v>
      </c>
      <c r="AS5" s="23">
        <f t="shared" si="1"/>
        <v>3.24</v>
      </c>
      <c r="AT5" s="23">
        <f t="shared" si="1"/>
        <v>1.77</v>
      </c>
      <c r="AU5" s="23">
        <f t="shared" si="1"/>
        <v>2.65</v>
      </c>
      <c r="AV5" s="23">
        <f t="shared" si="1"/>
        <v>0.12</v>
      </c>
      <c r="AW5" s="23">
        <f t="shared" si="1"/>
        <v>1.25</v>
      </c>
      <c r="AX5" s="23">
        <f t="shared" si="1"/>
        <v>0.26</v>
      </c>
      <c r="AY5" s="23">
        <f t="shared" si="1"/>
        <v>0.97</v>
      </c>
      <c r="AZ5" s="23">
        <f t="shared" si="1"/>
        <v>0.63</v>
      </c>
      <c r="BA5" s="23">
        <f t="shared" si="1"/>
        <v>1.46</v>
      </c>
      <c r="BB5" s="25"/>
      <c r="BC5" s="13" t="s">
        <v>4</v>
      </c>
      <c r="BD5" s="17">
        <f t="shared" si="2"/>
        <v>1.07</v>
      </c>
      <c r="BE5" s="23">
        <f t="shared" si="2"/>
        <v>0.03</v>
      </c>
      <c r="BF5" s="23">
        <f t="shared" si="2"/>
        <v>1.09</v>
      </c>
      <c r="BG5" s="23">
        <f t="shared" si="2"/>
        <v>0.66</v>
      </c>
      <c r="BH5" s="23">
        <f t="shared" si="2"/>
        <v>3.22</v>
      </c>
      <c r="BI5" s="23">
        <f t="shared" si="2"/>
        <v>7.99</v>
      </c>
      <c r="BJ5" s="23">
        <f t="shared" si="2"/>
        <v>0.81</v>
      </c>
      <c r="BK5" s="23">
        <f t="shared" si="2"/>
        <v>3.24</v>
      </c>
      <c r="BL5" s="23">
        <f t="shared" si="2"/>
        <v>1.77</v>
      </c>
      <c r="BM5" s="23">
        <f t="shared" si="2"/>
        <v>2.65</v>
      </c>
      <c r="BN5" s="23">
        <f t="shared" si="2"/>
        <v>0.12</v>
      </c>
      <c r="BO5" s="23">
        <f t="shared" si="2"/>
        <v>1.25</v>
      </c>
      <c r="BP5" s="23">
        <f t="shared" si="2"/>
        <v>0.26</v>
      </c>
      <c r="BQ5" s="23">
        <f t="shared" si="2"/>
        <v>0.97</v>
      </c>
      <c r="BR5" s="23">
        <f t="shared" si="2"/>
        <v>0.63</v>
      </c>
      <c r="BS5" s="23">
        <f t="shared" si="2"/>
        <v>1.46</v>
      </c>
      <c r="BT5" s="25"/>
      <c r="BU5" s="1" t="s">
        <v>92</v>
      </c>
      <c r="BV5" s="1" t="s">
        <v>98</v>
      </c>
      <c r="BX5" s="1" t="s">
        <v>93</v>
      </c>
    </row>
    <row r="6" spans="1:72" ht="15">
      <c r="A6" s="14"/>
      <c r="B6" s="1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14"/>
      <c r="T6" s="1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  <c r="AK6" s="14"/>
      <c r="AL6" s="1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5"/>
      <c r="BC6" s="14"/>
      <c r="BD6" s="1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5"/>
    </row>
    <row r="7" spans="1:76" ht="15">
      <c r="A7" s="13" t="s">
        <v>5</v>
      </c>
      <c r="B7" s="17">
        <f>9589+10826</f>
        <v>20415</v>
      </c>
      <c r="C7" s="23">
        <f>13416+20831</f>
        <v>34247</v>
      </c>
      <c r="D7" s="23">
        <v>5583</v>
      </c>
      <c r="E7" s="23">
        <v>1357</v>
      </c>
      <c r="F7" s="23">
        <v>1998</v>
      </c>
      <c r="G7" s="23">
        <v>160907</v>
      </c>
      <c r="H7" s="25"/>
      <c r="I7" s="23">
        <v>4640</v>
      </c>
      <c r="J7" s="23">
        <v>171259</v>
      </c>
      <c r="K7" s="23">
        <v>7977</v>
      </c>
      <c r="L7" s="23">
        <v>13088</v>
      </c>
      <c r="M7" s="23">
        <v>6227</v>
      </c>
      <c r="N7" s="23">
        <v>11025</v>
      </c>
      <c r="O7" s="23">
        <v>8548</v>
      </c>
      <c r="P7" s="23">
        <f>1979+24900</f>
        <v>26879</v>
      </c>
      <c r="Q7" s="23">
        <v>11785</v>
      </c>
      <c r="R7" s="25"/>
      <c r="S7" s="17">
        <v>0</v>
      </c>
      <c r="T7" s="28">
        <f aca="true" t="shared" si="3" ref="T7:T33">IF(B7-$S7&lt;0.0001,"ND",(1.4844*(B7-$S7))/T$4)</f>
        <v>84.17784999999999</v>
      </c>
      <c r="U7" s="30">
        <f aca="true" t="shared" si="4" ref="U7:U33">IF(C7-$S7&lt;0.0001,"ND",(1.4844*(C7-$S7))/U$4)</f>
        <v>151.65944749403343</v>
      </c>
      <c r="V7" s="30">
        <f aca="true" t="shared" si="5" ref="V7:V33">IF(D7-$S7&lt;0.0001,"ND",(1.4844*(D7-$S7))/V$4)</f>
        <v>40.210602620087336</v>
      </c>
      <c r="W7" s="30">
        <f aca="true" t="shared" si="6" ref="W7:W33">IF(E7-$S7&lt;0.0001,"ND",(1.4844*(E7-$S7))/W$4)</f>
        <v>6.452052530429212</v>
      </c>
      <c r="X7" s="30">
        <f aca="true" t="shared" si="7" ref="X7:X33">IF(F7-$S7&lt;0.0001,"ND",(1.4844*(F7-$S7))/X$4)</f>
        <v>9.352983916745506</v>
      </c>
      <c r="Y7" s="30">
        <f aca="true" t="shared" si="8" ref="Y7:Y33">IF(G7-$S7&lt;0.0001,"ND",(1.4844*(G7-$S7))/Y$4)</f>
        <v>2041.4559897435897</v>
      </c>
      <c r="Z7" s="30" t="str">
        <f aca="true" t="shared" si="9" ref="Z7:Z33">IF(H7-$S7&lt;0.0001,"ND",(1.4844*(H7-$S7))/Z$4)</f>
        <v>ND</v>
      </c>
      <c r="AA7" s="30">
        <f aca="true" t="shared" si="10" ref="AA7:AA33">IF(I7-$S7&lt;0.0001,"ND",(1.4844*(I7-$S7))/AA$4)</f>
        <v>33.225354558610704</v>
      </c>
      <c r="AB7" s="30">
        <f aca="true" t="shared" si="11" ref="AB7:AB33">IF(J7-$S7&lt;0.0001,"ND",(1.4844*(J7-$S7))/AB$4)</f>
        <v>757.7253639344262</v>
      </c>
      <c r="AC7" s="30">
        <f aca="true" t="shared" si="12" ref="AC7:AC33">IF(K7-$S7&lt;0.0001,"ND",(1.4844*(K7-$S7))/AC$4)</f>
        <v>33.09407154835103</v>
      </c>
      <c r="AD7" s="30">
        <f aca="true" t="shared" si="13" ref="AD7:AD33">IF(L7-$S7&lt;0.0001,"ND",(1.4844*(L7-$S7))/AD$4)</f>
        <v>50.85818638743456</v>
      </c>
      <c r="AE7" s="30">
        <f aca="true" t="shared" si="14" ref="AE7:AE33">IF(M7-$S7&lt;0.0001,"ND",(1.4844*(M7-$S7))/AE$4)</f>
        <v>27.379617298578196</v>
      </c>
      <c r="AF7" s="30">
        <f aca="true" t="shared" si="15" ref="AF7:AF33">IF(N7-$S7&lt;0.0001,"ND",(1.4844*(N7-$S7))/AF$4)</f>
        <v>48.20474226804124</v>
      </c>
      <c r="AG7" s="30">
        <f aca="true" t="shared" si="16" ref="AG7:AG33">IF(O7-$S7&lt;0.0001,"ND",(1.4844*(O7-$S7))/AG$4)</f>
        <v>40.28143238095238</v>
      </c>
      <c r="AH7" s="30">
        <f aca="true" t="shared" si="17" ref="AH7:AH33">IF(P7-$S7&lt;0.0001,"ND",(1.4844*(P7-$S7))/AH$4)</f>
        <v>119.42289015264889</v>
      </c>
      <c r="AI7" s="30">
        <f aca="true" t="shared" si="18" ref="AI7:AI33">IF(Q7-$S7&lt;0.0001,"ND",(1.4844*(Q7-$S7))/AI$4)</f>
        <v>56.68714841218405</v>
      </c>
      <c r="AJ7" s="25"/>
      <c r="AK7" s="13" t="s">
        <v>5</v>
      </c>
      <c r="AL7" s="28">
        <f aca="true" t="shared" si="19" ref="AL7:AL34">IF(T7=0,"ND",0.00025*T7*3600)</f>
        <v>75.760065</v>
      </c>
      <c r="AM7" s="30">
        <f aca="true" t="shared" si="20" ref="AM7:AM34">IF(U7=0,"ND",0.00025*U7*3600)</f>
        <v>136.4935027446301</v>
      </c>
      <c r="AN7" s="30">
        <f aca="true" t="shared" si="21" ref="AN7:AN34">IF(V7=0,"ND",0.00025*V7*3600)</f>
        <v>36.1895423580786</v>
      </c>
      <c r="AO7" s="30">
        <f aca="true" t="shared" si="22" ref="AO7:AO34">IF(W7=0,"ND",0.00025*W7*3600)</f>
        <v>5.80684727738629</v>
      </c>
      <c r="AP7" s="30">
        <f aca="true" t="shared" si="23" ref="AP7:AP34">IF(X7=0,"ND",0.00025*X7*3600)</f>
        <v>8.417685525070956</v>
      </c>
      <c r="AQ7" s="30">
        <f aca="true" t="shared" si="24" ref="AQ7:AQ34">IF(Y7=0,"ND",0.00025*Y7*3600)</f>
        <v>1837.3103907692307</v>
      </c>
      <c r="AR7" s="30" t="str">
        <f aca="true" t="shared" si="25" ref="AR7:AR34">IF(Z7=0,"ND",0.00025*Z7*3600)</f>
        <v>ND</v>
      </c>
      <c r="AS7" s="30">
        <f aca="true" t="shared" si="26" ref="AS7:AS34">IF(AA7=0,"ND",0.00025*AA7*3600)</f>
        <v>29.902819102749636</v>
      </c>
      <c r="AT7" s="30">
        <f aca="true" t="shared" si="27" ref="AT7:AT34">IF(AB7=0,"ND",0.00025*AB7*3600)</f>
        <v>681.9528275409837</v>
      </c>
      <c r="AU7" s="30">
        <f aca="true" t="shared" si="28" ref="AU7:AU34">IF(AC7=0,"ND",0.00025*AC7*3600)</f>
        <v>29.784664393515932</v>
      </c>
      <c r="AV7" s="30">
        <f aca="true" t="shared" si="29" ref="AV7:AV34">IF(AD7=0,"ND",0.00025*AD7*3600)</f>
        <v>45.7723677486911</v>
      </c>
      <c r="AW7" s="30">
        <f aca="true" t="shared" si="30" ref="AW7:AW34">IF(AE7=0,"ND",0.00025*AE7*3600)</f>
        <v>24.641655568720378</v>
      </c>
      <c r="AX7" s="30">
        <f aca="true" t="shared" si="31" ref="AX7:AX34">IF(AF7=0,"ND",0.00025*AF7*3600)</f>
        <v>43.384268041237114</v>
      </c>
      <c r="AY7" s="30">
        <f aca="true" t="shared" si="32" ref="AY7:AY34">IF(AG7=0,"ND",0.00025*AG7*3600)</f>
        <v>36.25328914285714</v>
      </c>
      <c r="AZ7" s="30">
        <f aca="true" t="shared" si="33" ref="AZ7:AZ34">IF(AH7=0,"ND",0.00025*AH7*3600)</f>
        <v>107.48060113738401</v>
      </c>
      <c r="BA7" s="30">
        <f aca="true" t="shared" si="34" ref="BA7:BA34">IF(AI7=0,"ND",0.00025*AI7*3600)</f>
        <v>51.01843357096565</v>
      </c>
      <c r="BB7" s="30"/>
      <c r="BC7" s="35" t="s">
        <v>5</v>
      </c>
      <c r="BD7" s="28">
        <f aca="true" t="shared" si="35" ref="BD7:BD34">AL7+AL46</f>
        <v>27511.925264999998</v>
      </c>
      <c r="BE7" s="30">
        <f aca="true" t="shared" si="36" ref="BE7:BE34">AM7+AM46</f>
        <v>53696.05455286396</v>
      </c>
      <c r="BF7" s="30">
        <f aca="true" t="shared" si="37" ref="BF7:BF34">AN7+AN46</f>
        <v>22097.35530655022</v>
      </c>
      <c r="BG7" s="30">
        <f aca="true" t="shared" si="38" ref="BG7:BG34">AO7+AO46</f>
        <v>3851.933842793081</v>
      </c>
      <c r="BH7" s="30">
        <f aca="true" t="shared" si="39" ref="BH7:BH34">AP7+AP46</f>
        <v>3362.0101169347204</v>
      </c>
      <c r="BI7" s="30">
        <f aca="true" t="shared" si="40" ref="BI7:BI34">AQ7+AQ46</f>
        <v>462177.1546984615</v>
      </c>
      <c r="BJ7" s="30">
        <f aca="true" t="shared" si="41" ref="BJ7:BJ34">AR7+AR46</f>
        <v>3099.9692362768496</v>
      </c>
      <c r="BK7" s="30">
        <f aca="true" t="shared" si="42" ref="BK7:BK34">AS7+AS46</f>
        <v>2485.285163531114</v>
      </c>
      <c r="BL7" s="30">
        <f aca="true" t="shared" si="43" ref="BL7:BL34">AT7+AT46</f>
        <v>681.9528275409837</v>
      </c>
      <c r="BM7" s="30">
        <f aca="true" t="shared" si="44" ref="BM7:BM34">AU7+AU46</f>
        <v>4284.843401117943</v>
      </c>
      <c r="BN7" s="30">
        <f aca="true" t="shared" si="45" ref="BN7:BN34">AV7+AV46</f>
        <v>11013.934022198953</v>
      </c>
      <c r="BO7" s="30">
        <f aca="true" t="shared" si="46" ref="BO7:BO34">AW7+AW46</f>
        <v>8530.306418601896</v>
      </c>
      <c r="BP7" s="30">
        <f aca="true" t="shared" si="47" ref="BP7:BP34">AX7+AX46</f>
        <v>20901.674624447718</v>
      </c>
      <c r="BQ7" s="30">
        <f aca="true" t="shared" si="48" ref="BQ7:BQ34">AY7+AY46</f>
        <v>17227.301746285713</v>
      </c>
      <c r="BR7" s="30">
        <f aca="true" t="shared" si="49" ref="BR7:BR34">AZ7+AZ46</f>
        <v>9527.57808093385</v>
      </c>
      <c r="BS7" s="30">
        <f aca="true" t="shared" si="50" ref="BS7:BS34">BA7+BA46</f>
        <v>7001.820040829552</v>
      </c>
      <c r="BT7" s="25"/>
      <c r="BU7" s="11">
        <f aca="true" t="shared" si="51" ref="BU7:BU34">AVERAGE(AL7:BA7)</f>
        <v>210.01126399476678</v>
      </c>
      <c r="BV7" s="4">
        <f aca="true" t="shared" si="52" ref="BV7:BV34">AVERAGE(BD7:BS7)</f>
        <v>41090.693709023006</v>
      </c>
      <c r="BX7" s="4">
        <f aca="true" t="shared" si="53" ref="BX7:BX34">AVERAGE(AL46:BA46)</f>
        <v>43620.06202562978</v>
      </c>
    </row>
    <row r="8" spans="1:76" ht="15">
      <c r="A8" s="13" t="s">
        <v>6</v>
      </c>
      <c r="B8" s="17">
        <f>9059+11822</f>
        <v>20881</v>
      </c>
      <c r="C8" s="23">
        <f>15011+17565</f>
        <v>32576</v>
      </c>
      <c r="D8" s="23">
        <f>6054+9011</f>
        <v>15065</v>
      </c>
      <c r="E8" s="23">
        <f>1686+16793</f>
        <v>18479</v>
      </c>
      <c r="F8" s="23">
        <v>8747</v>
      </c>
      <c r="G8" s="23">
        <v>44640</v>
      </c>
      <c r="H8" s="23">
        <v>50762</v>
      </c>
      <c r="I8" s="23">
        <v>43741</v>
      </c>
      <c r="J8" s="23">
        <v>15310</v>
      </c>
      <c r="K8" s="23">
        <v>96528</v>
      </c>
      <c r="L8" s="23">
        <v>136982</v>
      </c>
      <c r="M8" s="23">
        <v>67051</v>
      </c>
      <c r="N8" s="23">
        <v>36870</v>
      </c>
      <c r="O8" s="23">
        <v>93871</v>
      </c>
      <c r="P8" s="23">
        <f>7681+142156</f>
        <v>149837</v>
      </c>
      <c r="Q8" s="23">
        <v>107719</v>
      </c>
      <c r="R8" s="25"/>
      <c r="S8" s="17">
        <v>2039</v>
      </c>
      <c r="T8" s="28">
        <f t="shared" si="3"/>
        <v>77.69184666666666</v>
      </c>
      <c r="U8" s="30">
        <f t="shared" si="4"/>
        <v>135.2300799522673</v>
      </c>
      <c r="V8" s="30">
        <f t="shared" si="5"/>
        <v>93.81753711790392</v>
      </c>
      <c r="W8" s="30">
        <f t="shared" si="6"/>
        <v>78.16635490070468</v>
      </c>
      <c r="X8" s="30">
        <f t="shared" si="7"/>
        <v>31.401309366130555</v>
      </c>
      <c r="Y8" s="30">
        <f t="shared" si="8"/>
        <v>540.4865333333333</v>
      </c>
      <c r="Z8" s="30">
        <f t="shared" si="9"/>
        <v>215.76497971360382</v>
      </c>
      <c r="AA8" s="30">
        <f t="shared" si="10"/>
        <v>298.61287409551375</v>
      </c>
      <c r="AB8" s="30">
        <f t="shared" si="11"/>
        <v>58.716758271236955</v>
      </c>
      <c r="AC8" s="30">
        <f t="shared" si="12"/>
        <v>392.00523085522633</v>
      </c>
      <c r="AD8" s="30">
        <f t="shared" si="13"/>
        <v>524.3701287958115</v>
      </c>
      <c r="AE8" s="30">
        <f t="shared" si="14"/>
        <v>285.85252606635066</v>
      </c>
      <c r="AF8" s="30">
        <f t="shared" si="15"/>
        <v>152.29200706921944</v>
      </c>
      <c r="AG8" s="30">
        <f t="shared" si="16"/>
        <v>432.7473676190476</v>
      </c>
      <c r="AH8" s="30">
        <f t="shared" si="17"/>
        <v>656.663727027836</v>
      </c>
      <c r="AI8" s="30">
        <f t="shared" si="18"/>
        <v>508.3324432922877</v>
      </c>
      <c r="AJ8" s="25"/>
      <c r="AK8" s="13" t="s">
        <v>6</v>
      </c>
      <c r="AL8" s="28">
        <f t="shared" si="19"/>
        <v>69.92266199999999</v>
      </c>
      <c r="AM8" s="30">
        <f t="shared" si="20"/>
        <v>121.70707195704057</v>
      </c>
      <c r="AN8" s="30">
        <f t="shared" si="21"/>
        <v>84.43578340611353</v>
      </c>
      <c r="AO8" s="30">
        <f t="shared" si="22"/>
        <v>70.34971941063421</v>
      </c>
      <c r="AP8" s="30">
        <f t="shared" si="23"/>
        <v>28.261178429517503</v>
      </c>
      <c r="AQ8" s="30">
        <f t="shared" si="24"/>
        <v>486.43788000000006</v>
      </c>
      <c r="AR8" s="30">
        <f t="shared" si="25"/>
        <v>194.18848174224345</v>
      </c>
      <c r="AS8" s="30">
        <f t="shared" si="26"/>
        <v>268.75158668596237</v>
      </c>
      <c r="AT8" s="30">
        <f t="shared" si="27"/>
        <v>52.84508244411326</v>
      </c>
      <c r="AU8" s="30">
        <f t="shared" si="28"/>
        <v>352.80470776970367</v>
      </c>
      <c r="AV8" s="30">
        <f t="shared" si="29"/>
        <v>471.9331159162304</v>
      </c>
      <c r="AW8" s="30">
        <f t="shared" si="30"/>
        <v>257.26727345971557</v>
      </c>
      <c r="AX8" s="30">
        <f t="shared" si="31"/>
        <v>137.0628063622975</v>
      </c>
      <c r="AY8" s="30">
        <f t="shared" si="32"/>
        <v>389.47263085714286</v>
      </c>
      <c r="AZ8" s="30">
        <f t="shared" si="33"/>
        <v>590.9973543250525</v>
      </c>
      <c r="BA8" s="30">
        <f t="shared" si="34"/>
        <v>457.4991989630589</v>
      </c>
      <c r="BB8" s="30"/>
      <c r="BC8" s="35" t="s">
        <v>6</v>
      </c>
      <c r="BD8" s="28">
        <f t="shared" si="35"/>
        <v>131849.75926199998</v>
      </c>
      <c r="BE8" s="30">
        <f t="shared" si="36"/>
        <v>113573.88537744632</v>
      </c>
      <c r="BF8" s="30">
        <f t="shared" si="37"/>
        <v>39059.98303231441</v>
      </c>
      <c r="BG8" s="30">
        <f t="shared" si="38"/>
        <v>96625.76752850736</v>
      </c>
      <c r="BH8" s="30">
        <f t="shared" si="39"/>
        <v>17911.84051617786</v>
      </c>
      <c r="BI8" s="30">
        <f t="shared" si="40"/>
        <v>61858.38495692307</v>
      </c>
      <c r="BJ8" s="30">
        <f t="shared" si="41"/>
        <v>16097.373422076373</v>
      </c>
      <c r="BK8" s="30">
        <f t="shared" si="42"/>
        <v>21564.198880463096</v>
      </c>
      <c r="BL8" s="30">
        <f t="shared" si="43"/>
        <v>19809.92149377049</v>
      </c>
      <c r="BM8" s="30">
        <f t="shared" si="44"/>
        <v>55127.91147132476</v>
      </c>
      <c r="BN8" s="30">
        <f t="shared" si="45"/>
        <v>176466.12754523562</v>
      </c>
      <c r="BO8" s="30">
        <f t="shared" si="46"/>
        <v>25820.956846919427</v>
      </c>
      <c r="BP8" s="30">
        <f t="shared" si="47"/>
        <v>87610.76540430044</v>
      </c>
      <c r="BQ8" s="30">
        <f t="shared" si="48"/>
        <v>125761.0484022857</v>
      </c>
      <c r="BR8" s="30">
        <f t="shared" si="49"/>
        <v>81350.79901849745</v>
      </c>
      <c r="BS8" s="30">
        <f t="shared" si="50"/>
        <v>43885.290307193776</v>
      </c>
      <c r="BT8" s="25"/>
      <c r="BU8" s="11">
        <f t="shared" si="51"/>
        <v>252.12103335805165</v>
      </c>
      <c r="BV8" s="4">
        <f t="shared" si="52"/>
        <v>69648.37584158975</v>
      </c>
      <c r="BX8" s="4">
        <f t="shared" si="53"/>
        <v>69396.25480823171</v>
      </c>
    </row>
    <row r="9" spans="1:76" ht="15">
      <c r="A9" s="13" t="s">
        <v>7</v>
      </c>
      <c r="B9" s="1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7">
        <v>0</v>
      </c>
      <c r="T9" s="28" t="str">
        <f t="shared" si="3"/>
        <v>ND</v>
      </c>
      <c r="U9" s="30" t="str">
        <f t="shared" si="4"/>
        <v>ND</v>
      </c>
      <c r="V9" s="30" t="str">
        <f t="shared" si="5"/>
        <v>ND</v>
      </c>
      <c r="W9" s="30" t="str">
        <f t="shared" si="6"/>
        <v>ND</v>
      </c>
      <c r="X9" s="30" t="str">
        <f t="shared" si="7"/>
        <v>ND</v>
      </c>
      <c r="Y9" s="30" t="str">
        <f t="shared" si="8"/>
        <v>ND</v>
      </c>
      <c r="Z9" s="30" t="str">
        <f t="shared" si="9"/>
        <v>ND</v>
      </c>
      <c r="AA9" s="30" t="str">
        <f t="shared" si="10"/>
        <v>ND</v>
      </c>
      <c r="AB9" s="30" t="str">
        <f t="shared" si="11"/>
        <v>ND</v>
      </c>
      <c r="AC9" s="30" t="str">
        <f t="shared" si="12"/>
        <v>ND</v>
      </c>
      <c r="AD9" s="30" t="str">
        <f t="shared" si="13"/>
        <v>ND</v>
      </c>
      <c r="AE9" s="30" t="str">
        <f t="shared" si="14"/>
        <v>ND</v>
      </c>
      <c r="AF9" s="30" t="str">
        <f t="shared" si="15"/>
        <v>ND</v>
      </c>
      <c r="AG9" s="30" t="str">
        <f t="shared" si="16"/>
        <v>ND</v>
      </c>
      <c r="AH9" s="30" t="str">
        <f t="shared" si="17"/>
        <v>ND</v>
      </c>
      <c r="AI9" s="30" t="str">
        <f t="shared" si="18"/>
        <v>ND</v>
      </c>
      <c r="AJ9" s="25"/>
      <c r="AK9" s="13" t="s">
        <v>7</v>
      </c>
      <c r="AL9" s="28" t="str">
        <f t="shared" si="19"/>
        <v>ND</v>
      </c>
      <c r="AM9" s="30" t="str">
        <f t="shared" si="20"/>
        <v>ND</v>
      </c>
      <c r="AN9" s="30" t="str">
        <f t="shared" si="21"/>
        <v>ND</v>
      </c>
      <c r="AO9" s="30" t="str">
        <f t="shared" si="22"/>
        <v>ND</v>
      </c>
      <c r="AP9" s="30" t="str">
        <f t="shared" si="23"/>
        <v>ND</v>
      </c>
      <c r="AQ9" s="30" t="str">
        <f t="shared" si="24"/>
        <v>ND</v>
      </c>
      <c r="AR9" s="30" t="str">
        <f t="shared" si="25"/>
        <v>ND</v>
      </c>
      <c r="AS9" s="30" t="str">
        <f t="shared" si="26"/>
        <v>ND</v>
      </c>
      <c r="AT9" s="30" t="str">
        <f t="shared" si="27"/>
        <v>ND</v>
      </c>
      <c r="AU9" s="30" t="str">
        <f t="shared" si="28"/>
        <v>ND</v>
      </c>
      <c r="AV9" s="30" t="str">
        <f t="shared" si="29"/>
        <v>ND</v>
      </c>
      <c r="AW9" s="30" t="str">
        <f t="shared" si="30"/>
        <v>ND</v>
      </c>
      <c r="AX9" s="30" t="str">
        <f t="shared" si="31"/>
        <v>ND</v>
      </c>
      <c r="AY9" s="30" t="str">
        <f t="shared" si="32"/>
        <v>ND</v>
      </c>
      <c r="AZ9" s="30" t="str">
        <f t="shared" si="33"/>
        <v>ND</v>
      </c>
      <c r="BA9" s="30" t="str">
        <f t="shared" si="34"/>
        <v>ND</v>
      </c>
      <c r="BB9" s="30"/>
      <c r="BC9" s="35" t="s">
        <v>7</v>
      </c>
      <c r="BD9" s="28">
        <f t="shared" si="35"/>
        <v>0</v>
      </c>
      <c r="BE9" s="30">
        <f t="shared" si="36"/>
        <v>0</v>
      </c>
      <c r="BF9" s="30">
        <f t="shared" si="37"/>
        <v>0</v>
      </c>
      <c r="BG9" s="30">
        <f t="shared" si="38"/>
        <v>0</v>
      </c>
      <c r="BH9" s="30">
        <f t="shared" si="39"/>
        <v>0</v>
      </c>
      <c r="BI9" s="30">
        <f t="shared" si="40"/>
        <v>0</v>
      </c>
      <c r="BJ9" s="30">
        <f t="shared" si="41"/>
        <v>0</v>
      </c>
      <c r="BK9" s="30">
        <f t="shared" si="42"/>
        <v>0</v>
      </c>
      <c r="BL9" s="30">
        <f t="shared" si="43"/>
        <v>0</v>
      </c>
      <c r="BM9" s="30">
        <f t="shared" si="44"/>
        <v>0</v>
      </c>
      <c r="BN9" s="30">
        <f t="shared" si="45"/>
        <v>0</v>
      </c>
      <c r="BO9" s="30">
        <f t="shared" si="46"/>
        <v>0</v>
      </c>
      <c r="BP9" s="30">
        <f t="shared" si="47"/>
        <v>0</v>
      </c>
      <c r="BQ9" s="30">
        <f t="shared" si="48"/>
        <v>0</v>
      </c>
      <c r="BR9" s="30">
        <f t="shared" si="49"/>
        <v>0</v>
      </c>
      <c r="BS9" s="30">
        <f t="shared" si="50"/>
        <v>0</v>
      </c>
      <c r="BT9" s="25"/>
      <c r="BU9" s="11" t="e">
        <f t="shared" si="51"/>
        <v>#DIV/0!</v>
      </c>
      <c r="BV9" s="4">
        <f t="shared" si="52"/>
        <v>0</v>
      </c>
      <c r="BX9" s="4" t="e">
        <f t="shared" si="53"/>
        <v>#DIV/0!</v>
      </c>
    </row>
    <row r="10" spans="1:76" ht="15">
      <c r="A10" s="13" t="s">
        <v>8</v>
      </c>
      <c r="B10" s="18"/>
      <c r="C10" s="25"/>
      <c r="D10" s="25"/>
      <c r="E10" s="25"/>
      <c r="F10" s="25"/>
      <c r="G10" s="25"/>
      <c r="H10" s="25"/>
      <c r="I10" s="25"/>
      <c r="J10" s="23">
        <v>25.9</v>
      </c>
      <c r="K10" s="25"/>
      <c r="L10" s="25"/>
      <c r="M10" s="25"/>
      <c r="N10" s="25"/>
      <c r="O10" s="25"/>
      <c r="P10" s="25"/>
      <c r="Q10" s="25"/>
      <c r="R10" s="25"/>
      <c r="S10" s="17">
        <v>0</v>
      </c>
      <c r="T10" s="28" t="str">
        <f t="shared" si="3"/>
        <v>ND</v>
      </c>
      <c r="U10" s="30" t="str">
        <f t="shared" si="4"/>
        <v>ND</v>
      </c>
      <c r="V10" s="30" t="str">
        <f t="shared" si="5"/>
        <v>ND</v>
      </c>
      <c r="W10" s="30" t="str">
        <f t="shared" si="6"/>
        <v>ND</v>
      </c>
      <c r="X10" s="30" t="str">
        <f t="shared" si="7"/>
        <v>ND</v>
      </c>
      <c r="Y10" s="30" t="str">
        <f t="shared" si="8"/>
        <v>ND</v>
      </c>
      <c r="Z10" s="30" t="str">
        <f t="shared" si="9"/>
        <v>ND</v>
      </c>
      <c r="AA10" s="30" t="str">
        <f t="shared" si="10"/>
        <v>ND</v>
      </c>
      <c r="AB10" s="30">
        <f t="shared" si="11"/>
        <v>0.11459302533532041</v>
      </c>
      <c r="AC10" s="30" t="str">
        <f t="shared" si="12"/>
        <v>ND</v>
      </c>
      <c r="AD10" s="30" t="str">
        <f t="shared" si="13"/>
        <v>ND</v>
      </c>
      <c r="AE10" s="30" t="str">
        <f t="shared" si="14"/>
        <v>ND</v>
      </c>
      <c r="AF10" s="30" t="str">
        <f t="shared" si="15"/>
        <v>ND</v>
      </c>
      <c r="AG10" s="30" t="str">
        <f t="shared" si="16"/>
        <v>ND</v>
      </c>
      <c r="AH10" s="30" t="str">
        <f t="shared" si="17"/>
        <v>ND</v>
      </c>
      <c r="AI10" s="30" t="str">
        <f t="shared" si="18"/>
        <v>ND</v>
      </c>
      <c r="AJ10" s="25"/>
      <c r="AK10" s="13" t="s">
        <v>8</v>
      </c>
      <c r="AL10" s="28" t="str">
        <f t="shared" si="19"/>
        <v>ND</v>
      </c>
      <c r="AM10" s="30" t="str">
        <f t="shared" si="20"/>
        <v>ND</v>
      </c>
      <c r="AN10" s="30" t="str">
        <f t="shared" si="21"/>
        <v>ND</v>
      </c>
      <c r="AO10" s="30" t="str">
        <f t="shared" si="22"/>
        <v>ND</v>
      </c>
      <c r="AP10" s="30" t="str">
        <f t="shared" si="23"/>
        <v>ND</v>
      </c>
      <c r="AQ10" s="30" t="str">
        <f t="shared" si="24"/>
        <v>ND</v>
      </c>
      <c r="AR10" s="30" t="str">
        <f t="shared" si="25"/>
        <v>ND</v>
      </c>
      <c r="AS10" s="30" t="str">
        <f t="shared" si="26"/>
        <v>ND</v>
      </c>
      <c r="AT10" s="30">
        <f t="shared" si="27"/>
        <v>0.10313372280178837</v>
      </c>
      <c r="AU10" s="30" t="str">
        <f t="shared" si="28"/>
        <v>ND</v>
      </c>
      <c r="AV10" s="30" t="str">
        <f t="shared" si="29"/>
        <v>ND</v>
      </c>
      <c r="AW10" s="30" t="str">
        <f t="shared" si="30"/>
        <v>ND</v>
      </c>
      <c r="AX10" s="30" t="str">
        <f t="shared" si="31"/>
        <v>ND</v>
      </c>
      <c r="AY10" s="30" t="str">
        <f t="shared" si="32"/>
        <v>ND</v>
      </c>
      <c r="AZ10" s="30" t="str">
        <f t="shared" si="33"/>
        <v>ND</v>
      </c>
      <c r="BA10" s="30" t="str">
        <f t="shared" si="34"/>
        <v>ND</v>
      </c>
      <c r="BB10" s="30"/>
      <c r="BC10" s="35" t="s">
        <v>8</v>
      </c>
      <c r="BD10" s="28">
        <f t="shared" si="35"/>
        <v>0</v>
      </c>
      <c r="BE10" s="30">
        <f t="shared" si="36"/>
        <v>0</v>
      </c>
      <c r="BF10" s="30">
        <f t="shared" si="37"/>
        <v>0</v>
      </c>
      <c r="BG10" s="30">
        <f t="shared" si="38"/>
        <v>0</v>
      </c>
      <c r="BH10" s="30">
        <f t="shared" si="39"/>
        <v>0</v>
      </c>
      <c r="BI10" s="30">
        <f t="shared" si="40"/>
        <v>88.15052307692308</v>
      </c>
      <c r="BJ10" s="30">
        <f t="shared" si="41"/>
        <v>0</v>
      </c>
      <c r="BK10" s="30">
        <f t="shared" si="42"/>
        <v>0</v>
      </c>
      <c r="BL10" s="30">
        <f t="shared" si="43"/>
        <v>0.10313372280178837</v>
      </c>
      <c r="BM10" s="30">
        <f t="shared" si="44"/>
        <v>0</v>
      </c>
      <c r="BN10" s="30">
        <f t="shared" si="45"/>
        <v>0</v>
      </c>
      <c r="BO10" s="30">
        <f t="shared" si="46"/>
        <v>0</v>
      </c>
      <c r="BP10" s="30">
        <f t="shared" si="47"/>
        <v>0</v>
      </c>
      <c r="BQ10" s="30">
        <f t="shared" si="48"/>
        <v>0</v>
      </c>
      <c r="BR10" s="30">
        <f t="shared" si="49"/>
        <v>0</v>
      </c>
      <c r="BS10" s="30">
        <f t="shared" si="50"/>
        <v>0</v>
      </c>
      <c r="BT10" s="25"/>
      <c r="BU10" s="11">
        <f t="shared" si="51"/>
        <v>0.10313372280178837</v>
      </c>
      <c r="BV10" s="4">
        <f t="shared" si="52"/>
        <v>5.515853549982804</v>
      </c>
      <c r="BX10" s="4">
        <f t="shared" si="53"/>
        <v>88.15052307692308</v>
      </c>
    </row>
    <row r="11" spans="1:76" ht="15">
      <c r="A11" s="13" t="s">
        <v>9</v>
      </c>
      <c r="B11" s="17">
        <v>0.5</v>
      </c>
      <c r="C11" s="23">
        <f>0.7+0.9</f>
        <v>1.6</v>
      </c>
      <c r="D11" s="23">
        <v>0.6</v>
      </c>
      <c r="E11" s="23">
        <v>0.3</v>
      </c>
      <c r="F11" s="23">
        <v>0.2</v>
      </c>
      <c r="G11" s="23">
        <v>48.6</v>
      </c>
      <c r="H11" s="23">
        <v>1</v>
      </c>
      <c r="I11" s="23">
        <v>0.4</v>
      </c>
      <c r="J11" s="23">
        <v>52.4</v>
      </c>
      <c r="K11" s="23">
        <v>1</v>
      </c>
      <c r="L11" s="23">
        <v>1.8</v>
      </c>
      <c r="M11" s="23">
        <v>0.8</v>
      </c>
      <c r="N11" s="23">
        <v>1.1</v>
      </c>
      <c r="O11" s="23">
        <v>0.9</v>
      </c>
      <c r="P11" s="23">
        <v>3.8</v>
      </c>
      <c r="Q11" s="23">
        <v>2</v>
      </c>
      <c r="R11" s="25"/>
      <c r="S11" s="17">
        <v>0</v>
      </c>
      <c r="T11" s="28">
        <f t="shared" si="3"/>
        <v>0.0020616666666666665</v>
      </c>
      <c r="U11" s="30">
        <f t="shared" si="4"/>
        <v>0.007085441527446301</v>
      </c>
      <c r="V11" s="30">
        <f t="shared" si="5"/>
        <v>0.004321397379912664</v>
      </c>
      <c r="W11" s="30">
        <f t="shared" si="6"/>
        <v>0.0014263933376041</v>
      </c>
      <c r="X11" s="30">
        <f t="shared" si="7"/>
        <v>0.0009362346263008513</v>
      </c>
      <c r="Y11" s="30">
        <f t="shared" si="8"/>
        <v>0.616596923076923</v>
      </c>
      <c r="Z11" s="30">
        <f t="shared" si="9"/>
        <v>0.004428400954653938</v>
      </c>
      <c r="AA11" s="30">
        <f t="shared" si="10"/>
        <v>0.002864254703328509</v>
      </c>
      <c r="AB11" s="30">
        <f t="shared" si="11"/>
        <v>0.23184071535022352</v>
      </c>
      <c r="AC11" s="30">
        <f t="shared" si="12"/>
        <v>0.004148686416992733</v>
      </c>
      <c r="AD11" s="30">
        <f t="shared" si="13"/>
        <v>0.00699455497382199</v>
      </c>
      <c r="AE11" s="30">
        <f t="shared" si="14"/>
        <v>0.0035175355450236963</v>
      </c>
      <c r="AF11" s="30">
        <f t="shared" si="15"/>
        <v>0.0048095434462444775</v>
      </c>
      <c r="AG11" s="30">
        <f t="shared" si="16"/>
        <v>0.004241142857142857</v>
      </c>
      <c r="AH11" s="30">
        <f t="shared" si="17"/>
        <v>0.016883328344806943</v>
      </c>
      <c r="AI11" s="30">
        <f t="shared" si="18"/>
        <v>0.009620220349967595</v>
      </c>
      <c r="AJ11" s="25"/>
      <c r="AK11" s="13" t="s">
        <v>9</v>
      </c>
      <c r="AL11" s="28">
        <f t="shared" si="19"/>
        <v>0.0018555</v>
      </c>
      <c r="AM11" s="30">
        <f t="shared" si="20"/>
        <v>0.006376897374701671</v>
      </c>
      <c r="AN11" s="30">
        <f t="shared" si="21"/>
        <v>0.0038892576419213977</v>
      </c>
      <c r="AO11" s="30">
        <f t="shared" si="22"/>
        <v>0.00128375400384369</v>
      </c>
      <c r="AP11" s="30">
        <f t="shared" si="23"/>
        <v>0.0008426111636707662</v>
      </c>
      <c r="AQ11" s="30">
        <f t="shared" si="24"/>
        <v>0.5549372307692307</v>
      </c>
      <c r="AR11" s="30">
        <f t="shared" si="25"/>
        <v>0.003985560859188544</v>
      </c>
      <c r="AS11" s="30">
        <f t="shared" si="26"/>
        <v>0.002577829232995658</v>
      </c>
      <c r="AT11" s="30">
        <f t="shared" si="27"/>
        <v>0.2086566438152012</v>
      </c>
      <c r="AU11" s="30">
        <f t="shared" si="28"/>
        <v>0.00373381777529346</v>
      </c>
      <c r="AV11" s="30">
        <f t="shared" si="29"/>
        <v>0.0062950994764397914</v>
      </c>
      <c r="AW11" s="30">
        <f t="shared" si="30"/>
        <v>0.0031657819905213267</v>
      </c>
      <c r="AX11" s="30">
        <f t="shared" si="31"/>
        <v>0.00432858910162003</v>
      </c>
      <c r="AY11" s="30">
        <f t="shared" si="32"/>
        <v>0.003817028571428572</v>
      </c>
      <c r="AZ11" s="30">
        <f t="shared" si="33"/>
        <v>0.01519499551032625</v>
      </c>
      <c r="BA11" s="30">
        <f t="shared" si="34"/>
        <v>0.008658198314970837</v>
      </c>
      <c r="BB11" s="30"/>
      <c r="BC11" s="35" t="s">
        <v>9</v>
      </c>
      <c r="BD11" s="28">
        <f t="shared" si="35"/>
        <v>5.123035499999999</v>
      </c>
      <c r="BE11" s="30">
        <f t="shared" si="36"/>
        <v>7.977498615751791</v>
      </c>
      <c r="BF11" s="30">
        <f t="shared" si="37"/>
        <v>3.893146899563319</v>
      </c>
      <c r="BG11" s="30">
        <f t="shared" si="38"/>
        <v>0.6003689557975658</v>
      </c>
      <c r="BH11" s="30">
        <f t="shared" si="39"/>
        <v>0.4221481929990539</v>
      </c>
      <c r="BI11" s="30">
        <f t="shared" si="40"/>
        <v>138.48995261538462</v>
      </c>
      <c r="BJ11" s="30">
        <f t="shared" si="41"/>
        <v>0.2431192124105012</v>
      </c>
      <c r="BK11" s="30">
        <f t="shared" si="42"/>
        <v>0.3892522141823444</v>
      </c>
      <c r="BL11" s="30">
        <f t="shared" si="43"/>
        <v>0.5272164053651266</v>
      </c>
      <c r="BM11" s="30">
        <f t="shared" si="44"/>
        <v>0.6758210173281163</v>
      </c>
      <c r="BN11" s="30">
        <f t="shared" si="45"/>
        <v>2.5243348900523563</v>
      </c>
      <c r="BO11" s="30">
        <f t="shared" si="46"/>
        <v>1.9026349763033175</v>
      </c>
      <c r="BP11" s="30">
        <f t="shared" si="47"/>
        <v>3.860707970544919</v>
      </c>
      <c r="BQ11" s="30">
        <f t="shared" si="48"/>
        <v>2.9726170285714284</v>
      </c>
      <c r="BR11" s="30">
        <f t="shared" si="49"/>
        <v>0.7349579407363064</v>
      </c>
      <c r="BS11" s="30">
        <f t="shared" si="50"/>
        <v>0.7013140635126376</v>
      </c>
      <c r="BT11" s="25"/>
      <c r="BU11" s="11">
        <f t="shared" si="51"/>
        <v>0.05184992472508462</v>
      </c>
      <c r="BV11" s="4">
        <f t="shared" si="52"/>
        <v>10.68988290615646</v>
      </c>
      <c r="BX11" s="4">
        <f t="shared" si="53"/>
        <v>10.638032981431376</v>
      </c>
    </row>
    <row r="12" spans="1:76" ht="15">
      <c r="A12" s="13" t="s">
        <v>10</v>
      </c>
      <c r="B12" s="17">
        <f>320.2+758.2</f>
        <v>1078.4</v>
      </c>
      <c r="C12" s="23">
        <f>175.4+1513.3</f>
        <v>1688.7</v>
      </c>
      <c r="D12" s="23">
        <v>369.3</v>
      </c>
      <c r="E12" s="23">
        <v>102.1</v>
      </c>
      <c r="F12" s="23">
        <v>75.8</v>
      </c>
      <c r="G12" s="23">
        <v>373.9</v>
      </c>
      <c r="H12" s="23">
        <v>228.9</v>
      </c>
      <c r="I12" s="23">
        <v>73.8</v>
      </c>
      <c r="J12" s="23">
        <v>417.6</v>
      </c>
      <c r="K12" s="23">
        <v>271.4</v>
      </c>
      <c r="L12" s="23">
        <v>230.6</v>
      </c>
      <c r="M12" s="23">
        <v>323.7</v>
      </c>
      <c r="N12" s="23">
        <v>165.5</v>
      </c>
      <c r="O12" s="23">
        <v>533.2</v>
      </c>
      <c r="P12" s="23">
        <f>111.4+45.8</f>
        <v>157.2</v>
      </c>
      <c r="Q12" s="23">
        <v>123.6</v>
      </c>
      <c r="R12" s="25"/>
      <c r="S12" s="17">
        <v>0</v>
      </c>
      <c r="T12" s="28">
        <f t="shared" si="3"/>
        <v>4.446602666666667</v>
      </c>
      <c r="U12" s="30">
        <f t="shared" si="4"/>
        <v>7.478240692124105</v>
      </c>
      <c r="V12" s="30">
        <f t="shared" si="5"/>
        <v>2.6598200873362443</v>
      </c>
      <c r="W12" s="30">
        <f t="shared" si="6"/>
        <v>0.48544919923126195</v>
      </c>
      <c r="X12" s="30">
        <f t="shared" si="7"/>
        <v>0.35483292336802263</v>
      </c>
      <c r="Y12" s="30">
        <f t="shared" si="8"/>
        <v>4.74373641025641</v>
      </c>
      <c r="Z12" s="30">
        <f t="shared" si="9"/>
        <v>1.0136609785202864</v>
      </c>
      <c r="AA12" s="30">
        <f t="shared" si="10"/>
        <v>0.5284549927641099</v>
      </c>
      <c r="AB12" s="30">
        <f t="shared" si="11"/>
        <v>1.8476466169895678</v>
      </c>
      <c r="AC12" s="30">
        <f t="shared" si="12"/>
        <v>1.1259534935718276</v>
      </c>
      <c r="AD12" s="30">
        <f t="shared" si="13"/>
        <v>0.8960802094240837</v>
      </c>
      <c r="AE12" s="30">
        <f t="shared" si="14"/>
        <v>1.423282819905213</v>
      </c>
      <c r="AF12" s="30">
        <f t="shared" si="15"/>
        <v>0.7236176730486008</v>
      </c>
      <c r="AG12" s="30">
        <f t="shared" si="16"/>
        <v>2.5126415238095237</v>
      </c>
      <c r="AH12" s="30">
        <f t="shared" si="17"/>
        <v>0.6984366357378029</v>
      </c>
      <c r="AI12" s="30">
        <f t="shared" si="18"/>
        <v>0.5945296176279973</v>
      </c>
      <c r="AJ12" s="25"/>
      <c r="AK12" s="13" t="s">
        <v>10</v>
      </c>
      <c r="AL12" s="28">
        <f t="shared" si="19"/>
        <v>4.001942400000001</v>
      </c>
      <c r="AM12" s="30">
        <f t="shared" si="20"/>
        <v>6.730416622911695</v>
      </c>
      <c r="AN12" s="30">
        <f t="shared" si="21"/>
        <v>2.39383807860262</v>
      </c>
      <c r="AO12" s="30">
        <f t="shared" si="22"/>
        <v>0.43690427930813575</v>
      </c>
      <c r="AP12" s="30">
        <f t="shared" si="23"/>
        <v>0.3193496310312204</v>
      </c>
      <c r="AQ12" s="30">
        <f t="shared" si="24"/>
        <v>4.26936276923077</v>
      </c>
      <c r="AR12" s="30">
        <f t="shared" si="25"/>
        <v>0.9122948806682577</v>
      </c>
      <c r="AS12" s="30">
        <f t="shared" si="26"/>
        <v>0.4756094934876989</v>
      </c>
      <c r="AT12" s="30">
        <f t="shared" si="27"/>
        <v>1.6628819552906111</v>
      </c>
      <c r="AU12" s="30">
        <f t="shared" si="28"/>
        <v>1.0133581442146449</v>
      </c>
      <c r="AV12" s="30">
        <f t="shared" si="29"/>
        <v>0.8064721884816753</v>
      </c>
      <c r="AW12" s="30">
        <f t="shared" si="30"/>
        <v>1.2809545379146918</v>
      </c>
      <c r="AX12" s="30">
        <f t="shared" si="31"/>
        <v>0.6512559057437408</v>
      </c>
      <c r="AY12" s="30">
        <f t="shared" si="32"/>
        <v>2.2613773714285714</v>
      </c>
      <c r="AZ12" s="30">
        <f t="shared" si="33"/>
        <v>0.6285929721640225</v>
      </c>
      <c r="BA12" s="30">
        <f t="shared" si="34"/>
        <v>0.5350766558651975</v>
      </c>
      <c r="BB12" s="30"/>
      <c r="BC12" s="35" t="s">
        <v>10</v>
      </c>
      <c r="BD12" s="28">
        <f t="shared" si="35"/>
        <v>111.5467224</v>
      </c>
      <c r="BE12" s="30">
        <f t="shared" si="36"/>
        <v>457.5770610143198</v>
      </c>
      <c r="BF12" s="30">
        <f t="shared" si="37"/>
        <v>147.20386427947597</v>
      </c>
      <c r="BG12" s="30">
        <f t="shared" si="38"/>
        <v>46.823215618193466</v>
      </c>
      <c r="BH12" s="30">
        <f t="shared" si="39"/>
        <v>40.343379905392624</v>
      </c>
      <c r="BI12" s="30">
        <f t="shared" si="40"/>
        <v>967.7591473846153</v>
      </c>
      <c r="BJ12" s="30">
        <f t="shared" si="41"/>
        <v>57.42754786396182</v>
      </c>
      <c r="BK12" s="30">
        <f t="shared" si="42"/>
        <v>77.55270356005788</v>
      </c>
      <c r="BL12" s="30">
        <f t="shared" si="43"/>
        <v>139.2010590044709</v>
      </c>
      <c r="BM12" s="30">
        <f t="shared" si="44"/>
        <v>21.997414041363896</v>
      </c>
      <c r="BN12" s="30">
        <f t="shared" si="45"/>
        <v>162.59052873298432</v>
      </c>
      <c r="BO12" s="30">
        <f t="shared" si="46"/>
        <v>47.8179497985782</v>
      </c>
      <c r="BP12" s="30">
        <f t="shared" si="47"/>
        <v>151.36485826215022</v>
      </c>
      <c r="BQ12" s="30">
        <f t="shared" si="48"/>
        <v>184.20640594285717</v>
      </c>
      <c r="BR12" s="30">
        <f t="shared" si="49"/>
        <v>281.4960889314577</v>
      </c>
      <c r="BS12" s="30">
        <f t="shared" si="50"/>
        <v>271.45010193130264</v>
      </c>
      <c r="BT12" s="25"/>
      <c r="BU12" s="11">
        <f t="shared" si="51"/>
        <v>1.7737304928964723</v>
      </c>
      <c r="BV12" s="4">
        <f t="shared" si="52"/>
        <v>197.89737804194885</v>
      </c>
      <c r="BX12" s="4">
        <f t="shared" si="53"/>
        <v>196.12364754905244</v>
      </c>
    </row>
    <row r="13" spans="1:76" ht="15">
      <c r="A13" s="13" t="s">
        <v>11</v>
      </c>
      <c r="B13" s="17">
        <f>20.1+36.1</f>
        <v>56.2</v>
      </c>
      <c r="C13" s="23">
        <f>26.1+96.5</f>
        <v>122.6</v>
      </c>
      <c r="D13" s="23">
        <f>56.3+34.9</f>
        <v>91.19999999999999</v>
      </c>
      <c r="E13" s="23">
        <v>10.2</v>
      </c>
      <c r="F13" s="23">
        <v>11.4</v>
      </c>
      <c r="G13" s="23">
        <v>61.4</v>
      </c>
      <c r="H13" s="23">
        <v>12.4</v>
      </c>
      <c r="I13" s="23">
        <v>8.1</v>
      </c>
      <c r="J13" s="23">
        <v>62.7</v>
      </c>
      <c r="K13" s="23">
        <v>19.7</v>
      </c>
      <c r="L13" s="23">
        <v>23.7</v>
      </c>
      <c r="M13" s="23">
        <v>8.2</v>
      </c>
      <c r="N13" s="23">
        <v>17.9</v>
      </c>
      <c r="O13" s="23">
        <v>19.3</v>
      </c>
      <c r="P13" s="23">
        <f>7.1+12.5</f>
        <v>19.6</v>
      </c>
      <c r="Q13" s="23">
        <v>12.5</v>
      </c>
      <c r="R13" s="25"/>
      <c r="S13" s="17">
        <v>9.4</v>
      </c>
      <c r="T13" s="28">
        <f t="shared" si="3"/>
        <v>0.192972</v>
      </c>
      <c r="U13" s="30">
        <f t="shared" si="4"/>
        <v>0.5012949880668257</v>
      </c>
      <c r="V13" s="30">
        <f t="shared" si="5"/>
        <v>0.5891505094614263</v>
      </c>
      <c r="W13" s="30">
        <f t="shared" si="6"/>
        <v>0.0038037155669442616</v>
      </c>
      <c r="X13" s="30">
        <f t="shared" si="7"/>
        <v>0.009362346263008513</v>
      </c>
      <c r="Y13" s="30">
        <f t="shared" si="8"/>
        <v>0.6597333333333333</v>
      </c>
      <c r="Z13" s="30">
        <f t="shared" si="9"/>
        <v>0.013285202863961813</v>
      </c>
      <c r="AA13" s="30" t="str">
        <f t="shared" si="10"/>
        <v>ND</v>
      </c>
      <c r="AB13" s="30">
        <f t="shared" si="11"/>
        <v>0.23582271236959762</v>
      </c>
      <c r="AC13" s="30">
        <f t="shared" si="12"/>
        <v>0.04273147009502515</v>
      </c>
      <c r="AD13" s="30">
        <f t="shared" si="13"/>
        <v>0.055567853403141354</v>
      </c>
      <c r="AE13" s="30" t="str">
        <f t="shared" si="14"/>
        <v>ND</v>
      </c>
      <c r="AF13" s="30">
        <f t="shared" si="15"/>
        <v>0.037164653902798224</v>
      </c>
      <c r="AG13" s="30">
        <f t="shared" si="16"/>
        <v>0.04665257142857143</v>
      </c>
      <c r="AH13" s="30">
        <f t="shared" si="17"/>
        <v>0.045318407662376534</v>
      </c>
      <c r="AI13" s="30">
        <f t="shared" si="18"/>
        <v>0.01491134154244977</v>
      </c>
      <c r="AJ13" s="25"/>
      <c r="AK13" s="13" t="s">
        <v>11</v>
      </c>
      <c r="AL13" s="28">
        <f t="shared" si="19"/>
        <v>0.17367480000000002</v>
      </c>
      <c r="AM13" s="30">
        <f t="shared" si="20"/>
        <v>0.45116548926014316</v>
      </c>
      <c r="AN13" s="30">
        <f t="shared" si="21"/>
        <v>0.5302354585152838</v>
      </c>
      <c r="AO13" s="30">
        <f t="shared" si="22"/>
        <v>0.0034233440102498357</v>
      </c>
      <c r="AP13" s="30">
        <f t="shared" si="23"/>
        <v>0.008426111636707662</v>
      </c>
      <c r="AQ13" s="30">
        <f t="shared" si="24"/>
        <v>0.59376</v>
      </c>
      <c r="AR13" s="30">
        <f t="shared" si="25"/>
        <v>0.011956682577565632</v>
      </c>
      <c r="AS13" s="30" t="str">
        <f t="shared" si="26"/>
        <v>ND</v>
      </c>
      <c r="AT13" s="30">
        <f t="shared" si="27"/>
        <v>0.21224044113263785</v>
      </c>
      <c r="AU13" s="30">
        <f t="shared" si="28"/>
        <v>0.03845832308552263</v>
      </c>
      <c r="AV13" s="30">
        <f t="shared" si="29"/>
        <v>0.050011068062827214</v>
      </c>
      <c r="AW13" s="30" t="str">
        <f t="shared" si="30"/>
        <v>ND</v>
      </c>
      <c r="AX13" s="30">
        <f t="shared" si="31"/>
        <v>0.033448188512518406</v>
      </c>
      <c r="AY13" s="30">
        <f t="shared" si="32"/>
        <v>0.04198731428571429</v>
      </c>
      <c r="AZ13" s="30">
        <f t="shared" si="33"/>
        <v>0.04078656689613888</v>
      </c>
      <c r="BA13" s="30">
        <f t="shared" si="34"/>
        <v>0.013420207388204793</v>
      </c>
      <c r="BB13" s="30"/>
      <c r="BC13" s="35" t="s">
        <v>11</v>
      </c>
      <c r="BD13" s="28">
        <f t="shared" si="35"/>
        <v>20.955274799999998</v>
      </c>
      <c r="BE13" s="30">
        <f t="shared" si="36"/>
        <v>94.03213446300717</v>
      </c>
      <c r="BF13" s="30">
        <f t="shared" si="37"/>
        <v>153.76698655021835</v>
      </c>
      <c r="BG13" s="30">
        <f t="shared" si="38"/>
        <v>0.0034233440102498357</v>
      </c>
      <c r="BH13" s="30">
        <f t="shared" si="39"/>
        <v>21.579271901608326</v>
      </c>
      <c r="BI13" s="30">
        <f t="shared" si="40"/>
        <v>123.91314461538462</v>
      </c>
      <c r="BJ13" s="30">
        <f t="shared" si="41"/>
        <v>7.185966229116944</v>
      </c>
      <c r="BK13" s="30">
        <f t="shared" si="42"/>
        <v>3.737852387843705</v>
      </c>
      <c r="BL13" s="30">
        <f t="shared" si="43"/>
        <v>3.7960377585692995</v>
      </c>
      <c r="BM13" s="30">
        <f t="shared" si="44"/>
        <v>0.03845832308552263</v>
      </c>
      <c r="BN13" s="30">
        <f t="shared" si="45"/>
        <v>6.904674942408375</v>
      </c>
      <c r="BO13" s="30">
        <f t="shared" si="46"/>
        <v>0</v>
      </c>
      <c r="BP13" s="30">
        <f t="shared" si="47"/>
        <v>6.644384270986745</v>
      </c>
      <c r="BQ13" s="30">
        <f t="shared" si="48"/>
        <v>8.1849816</v>
      </c>
      <c r="BR13" s="30">
        <f t="shared" si="49"/>
        <v>7.6382843220592616</v>
      </c>
      <c r="BS13" s="30">
        <f t="shared" si="50"/>
        <v>8.585036539209332</v>
      </c>
      <c r="BT13" s="25"/>
      <c r="BU13" s="11">
        <f t="shared" si="51"/>
        <v>0.1573567139545367</v>
      </c>
      <c r="BV13" s="4">
        <f t="shared" si="52"/>
        <v>29.18536950296924</v>
      </c>
      <c r="BX13" s="4">
        <f t="shared" si="53"/>
        <v>35.750993696318794</v>
      </c>
    </row>
    <row r="14" spans="1:76" ht="15">
      <c r="A14" s="13" t="s">
        <v>12</v>
      </c>
      <c r="B14" s="17">
        <v>1820</v>
      </c>
      <c r="C14" s="23">
        <f>2497+4720</f>
        <v>7217</v>
      </c>
      <c r="D14" s="23">
        <v>3096</v>
      </c>
      <c r="E14" s="23">
        <v>659</v>
      </c>
      <c r="F14" s="23">
        <v>385</v>
      </c>
      <c r="G14" s="23">
        <v>888</v>
      </c>
      <c r="H14" s="23">
        <v>148</v>
      </c>
      <c r="I14" s="23">
        <v>260</v>
      </c>
      <c r="J14" s="23">
        <v>772</v>
      </c>
      <c r="K14" s="23">
        <v>812</v>
      </c>
      <c r="L14" s="23">
        <v>2248</v>
      </c>
      <c r="M14" s="23">
        <v>697</v>
      </c>
      <c r="N14" s="23">
        <v>2043</v>
      </c>
      <c r="O14" s="23">
        <v>2787</v>
      </c>
      <c r="P14" s="23">
        <f>586+987</f>
        <v>1573</v>
      </c>
      <c r="Q14" s="23">
        <v>783</v>
      </c>
      <c r="R14" s="25"/>
      <c r="S14" s="17">
        <v>445</v>
      </c>
      <c r="T14" s="28">
        <f t="shared" si="3"/>
        <v>5.669583333333334</v>
      </c>
      <c r="U14" s="30">
        <f t="shared" si="4"/>
        <v>29.989131264916466</v>
      </c>
      <c r="V14" s="30">
        <f t="shared" si="5"/>
        <v>19.09337409024745</v>
      </c>
      <c r="W14" s="30">
        <f t="shared" si="6"/>
        <v>1.0174939141575912</v>
      </c>
      <c r="X14" s="30" t="str">
        <f t="shared" si="7"/>
        <v>ND</v>
      </c>
      <c r="Y14" s="30">
        <f t="shared" si="8"/>
        <v>5.6204205128205125</v>
      </c>
      <c r="Z14" s="30" t="str">
        <f t="shared" si="9"/>
        <v>ND</v>
      </c>
      <c r="AA14" s="30" t="str">
        <f t="shared" si="10"/>
        <v>ND</v>
      </c>
      <c r="AB14" s="30">
        <f t="shared" si="11"/>
        <v>1.4467922503725783</v>
      </c>
      <c r="AC14" s="30">
        <f t="shared" si="12"/>
        <v>1.5225679150363332</v>
      </c>
      <c r="AD14" s="30">
        <f t="shared" si="13"/>
        <v>7.0062125654450265</v>
      </c>
      <c r="AE14" s="30">
        <f t="shared" si="14"/>
        <v>1.1080236966824644</v>
      </c>
      <c r="AF14" s="30">
        <f t="shared" si="15"/>
        <v>6.986954933726067</v>
      </c>
      <c r="AG14" s="30">
        <f t="shared" si="16"/>
        <v>11.03639619047619</v>
      </c>
      <c r="AH14" s="30">
        <f t="shared" si="17"/>
        <v>5.01168272972164</v>
      </c>
      <c r="AI14" s="30">
        <f t="shared" si="18"/>
        <v>1.6258172391445236</v>
      </c>
      <c r="AJ14" s="25"/>
      <c r="AK14" s="13" t="s">
        <v>12</v>
      </c>
      <c r="AL14" s="28">
        <f t="shared" si="19"/>
        <v>5.102625000000001</v>
      </c>
      <c r="AM14" s="30">
        <f t="shared" si="20"/>
        <v>26.99021813842482</v>
      </c>
      <c r="AN14" s="30">
        <f t="shared" si="21"/>
        <v>17.184036681222707</v>
      </c>
      <c r="AO14" s="30">
        <f t="shared" si="22"/>
        <v>0.915744522741832</v>
      </c>
      <c r="AP14" s="30" t="str">
        <f t="shared" si="23"/>
        <v>ND</v>
      </c>
      <c r="AQ14" s="30">
        <f t="shared" si="24"/>
        <v>5.058378461538461</v>
      </c>
      <c r="AR14" s="30" t="str">
        <f t="shared" si="25"/>
        <v>ND</v>
      </c>
      <c r="AS14" s="30" t="str">
        <f t="shared" si="26"/>
        <v>ND</v>
      </c>
      <c r="AT14" s="30">
        <f t="shared" si="27"/>
        <v>1.3021130253353204</v>
      </c>
      <c r="AU14" s="30">
        <f t="shared" si="28"/>
        <v>1.3703111235327</v>
      </c>
      <c r="AV14" s="30">
        <f t="shared" si="29"/>
        <v>6.3055913089005236</v>
      </c>
      <c r="AW14" s="30">
        <f t="shared" si="30"/>
        <v>0.997221327014218</v>
      </c>
      <c r="AX14" s="30">
        <f t="shared" si="31"/>
        <v>6.28825944035346</v>
      </c>
      <c r="AY14" s="30">
        <f t="shared" si="32"/>
        <v>9.93275657142857</v>
      </c>
      <c r="AZ14" s="30">
        <f t="shared" si="33"/>
        <v>4.510514456749476</v>
      </c>
      <c r="BA14" s="30">
        <f t="shared" si="34"/>
        <v>1.4632355152300711</v>
      </c>
      <c r="BB14" s="30"/>
      <c r="BC14" s="35" t="s">
        <v>12</v>
      </c>
      <c r="BD14" s="28">
        <f t="shared" si="35"/>
        <v>3745.048425</v>
      </c>
      <c r="BE14" s="30">
        <f t="shared" si="36"/>
        <v>3370.078666825776</v>
      </c>
      <c r="BF14" s="30">
        <f t="shared" si="37"/>
        <v>1537.8837746724892</v>
      </c>
      <c r="BG14" s="30">
        <f t="shared" si="38"/>
        <v>25.734988597053167</v>
      </c>
      <c r="BH14" s="30">
        <f t="shared" si="39"/>
        <v>0</v>
      </c>
      <c r="BI14" s="30">
        <f t="shared" si="40"/>
        <v>1800.0405323076923</v>
      </c>
      <c r="BJ14" s="30">
        <f t="shared" si="41"/>
        <v>925.4472315035799</v>
      </c>
      <c r="BK14" s="30">
        <f t="shared" si="42"/>
        <v>0</v>
      </c>
      <c r="BL14" s="30">
        <f t="shared" si="43"/>
        <v>80.9420534128167</v>
      </c>
      <c r="BM14" s="30">
        <f t="shared" si="44"/>
        <v>1.3703111235327</v>
      </c>
      <c r="BN14" s="30">
        <f t="shared" si="45"/>
        <v>6.3055913089005236</v>
      </c>
      <c r="BO14" s="30">
        <f t="shared" si="46"/>
        <v>0.997221327014218</v>
      </c>
      <c r="BP14" s="30">
        <f t="shared" si="47"/>
        <v>790.9434111340206</v>
      </c>
      <c r="BQ14" s="30">
        <f t="shared" si="48"/>
        <v>663.0687565714286</v>
      </c>
      <c r="BR14" s="30">
        <f t="shared" si="49"/>
        <v>1783.9244623765337</v>
      </c>
      <c r="BS14" s="30">
        <f t="shared" si="50"/>
        <v>1096.7253223590408</v>
      </c>
      <c r="BT14" s="25"/>
      <c r="BU14" s="11">
        <f t="shared" si="51"/>
        <v>6.724692736344012</v>
      </c>
      <c r="BV14" s="4">
        <f t="shared" si="52"/>
        <v>989.2819217824924</v>
      </c>
      <c r="BX14" s="4">
        <f t="shared" si="53"/>
        <v>1431.008158449764</v>
      </c>
    </row>
    <row r="15" spans="1:76" ht="15">
      <c r="A15" s="13" t="s">
        <v>13</v>
      </c>
      <c r="B15" s="17">
        <v>19.2</v>
      </c>
      <c r="C15" s="25"/>
      <c r="D15" s="25"/>
      <c r="E15" s="25"/>
      <c r="F15" s="25"/>
      <c r="G15" s="25"/>
      <c r="H15" s="25"/>
      <c r="I15" s="23">
        <v>15.8</v>
      </c>
      <c r="J15" s="25"/>
      <c r="K15" s="25"/>
      <c r="L15" s="25"/>
      <c r="M15" s="25"/>
      <c r="N15" s="25"/>
      <c r="O15" s="25"/>
      <c r="P15" s="23">
        <v>4.9</v>
      </c>
      <c r="Q15" s="25"/>
      <c r="R15" s="25"/>
      <c r="S15" s="17">
        <v>0</v>
      </c>
      <c r="T15" s="28">
        <f t="shared" si="3"/>
        <v>0.079168</v>
      </c>
      <c r="U15" s="30" t="str">
        <f t="shared" si="4"/>
        <v>ND</v>
      </c>
      <c r="V15" s="30" t="str">
        <f t="shared" si="5"/>
        <v>ND</v>
      </c>
      <c r="W15" s="30" t="str">
        <f t="shared" si="6"/>
        <v>ND</v>
      </c>
      <c r="X15" s="30" t="str">
        <f t="shared" si="7"/>
        <v>ND</v>
      </c>
      <c r="Y15" s="30" t="str">
        <f t="shared" si="8"/>
        <v>ND</v>
      </c>
      <c r="Z15" s="30" t="str">
        <f t="shared" si="9"/>
        <v>ND</v>
      </c>
      <c r="AA15" s="30">
        <f t="shared" si="10"/>
        <v>0.11313806078147612</v>
      </c>
      <c r="AB15" s="30" t="str">
        <f t="shared" si="11"/>
        <v>ND</v>
      </c>
      <c r="AC15" s="30" t="str">
        <f t="shared" si="12"/>
        <v>ND</v>
      </c>
      <c r="AD15" s="30" t="str">
        <f t="shared" si="13"/>
        <v>ND</v>
      </c>
      <c r="AE15" s="30" t="str">
        <f t="shared" si="14"/>
        <v>ND</v>
      </c>
      <c r="AF15" s="30" t="str">
        <f t="shared" si="15"/>
        <v>ND</v>
      </c>
      <c r="AG15" s="30" t="str">
        <f t="shared" si="16"/>
        <v>ND</v>
      </c>
      <c r="AH15" s="30">
        <f t="shared" si="17"/>
        <v>0.021770607602514216</v>
      </c>
      <c r="AI15" s="30" t="str">
        <f t="shared" si="18"/>
        <v>ND</v>
      </c>
      <c r="AJ15" s="25"/>
      <c r="AK15" s="13" t="s">
        <v>13</v>
      </c>
      <c r="AL15" s="28">
        <f t="shared" si="19"/>
        <v>0.0712512</v>
      </c>
      <c r="AM15" s="30" t="str">
        <f t="shared" si="20"/>
        <v>ND</v>
      </c>
      <c r="AN15" s="30" t="str">
        <f t="shared" si="21"/>
        <v>ND</v>
      </c>
      <c r="AO15" s="30" t="str">
        <f t="shared" si="22"/>
        <v>ND</v>
      </c>
      <c r="AP15" s="30" t="str">
        <f t="shared" si="23"/>
        <v>ND</v>
      </c>
      <c r="AQ15" s="30" t="str">
        <f t="shared" si="24"/>
        <v>ND</v>
      </c>
      <c r="AR15" s="30" t="str">
        <f t="shared" si="25"/>
        <v>ND</v>
      </c>
      <c r="AS15" s="30">
        <f t="shared" si="26"/>
        <v>0.10182425470332851</v>
      </c>
      <c r="AT15" s="30" t="str">
        <f t="shared" si="27"/>
        <v>ND</v>
      </c>
      <c r="AU15" s="30" t="str">
        <f t="shared" si="28"/>
        <v>ND</v>
      </c>
      <c r="AV15" s="30" t="str">
        <f t="shared" si="29"/>
        <v>ND</v>
      </c>
      <c r="AW15" s="30" t="str">
        <f t="shared" si="30"/>
        <v>ND</v>
      </c>
      <c r="AX15" s="30" t="str">
        <f t="shared" si="31"/>
        <v>ND</v>
      </c>
      <c r="AY15" s="30" t="str">
        <f t="shared" si="32"/>
        <v>ND</v>
      </c>
      <c r="AZ15" s="30">
        <f t="shared" si="33"/>
        <v>0.019593546842262794</v>
      </c>
      <c r="BA15" s="30" t="str">
        <f t="shared" si="34"/>
        <v>ND</v>
      </c>
      <c r="BB15" s="30"/>
      <c r="BC15" s="35" t="s">
        <v>13</v>
      </c>
      <c r="BD15" s="28">
        <f t="shared" si="35"/>
        <v>0.0712512</v>
      </c>
      <c r="BE15" s="30">
        <f t="shared" si="36"/>
        <v>0</v>
      </c>
      <c r="BF15" s="30">
        <f t="shared" si="37"/>
        <v>0</v>
      </c>
      <c r="BG15" s="30">
        <f t="shared" si="38"/>
        <v>0</v>
      </c>
      <c r="BH15" s="30">
        <f t="shared" si="39"/>
        <v>0</v>
      </c>
      <c r="BI15" s="30">
        <f t="shared" si="40"/>
        <v>0</v>
      </c>
      <c r="BJ15" s="30">
        <f t="shared" si="41"/>
        <v>14.587152744630073</v>
      </c>
      <c r="BK15" s="30">
        <f t="shared" si="42"/>
        <v>128.34882859623733</v>
      </c>
      <c r="BL15" s="30">
        <f t="shared" si="43"/>
        <v>0</v>
      </c>
      <c r="BM15" s="30">
        <f t="shared" si="44"/>
        <v>0</v>
      </c>
      <c r="BN15" s="30">
        <f t="shared" si="45"/>
        <v>4.6863518324607325</v>
      </c>
      <c r="BO15" s="30">
        <f t="shared" si="46"/>
        <v>0</v>
      </c>
      <c r="BP15" s="30">
        <f t="shared" si="47"/>
        <v>0</v>
      </c>
      <c r="BQ15" s="30">
        <f t="shared" si="48"/>
        <v>0</v>
      </c>
      <c r="BR15" s="30">
        <f t="shared" si="49"/>
        <v>0.019593546842262794</v>
      </c>
      <c r="BS15" s="30">
        <f t="shared" si="50"/>
        <v>0</v>
      </c>
      <c r="BT15" s="25"/>
      <c r="BU15" s="11">
        <f t="shared" si="51"/>
        <v>0.06422300051519711</v>
      </c>
      <c r="BV15" s="4">
        <f t="shared" si="52"/>
        <v>9.232073620010649</v>
      </c>
      <c r="BX15" s="4">
        <f t="shared" si="53"/>
        <v>49.17350297287493</v>
      </c>
    </row>
    <row r="16" spans="1:76" ht="15">
      <c r="A16" s="13" t="s">
        <v>14</v>
      </c>
      <c r="B16" s="18"/>
      <c r="C16" s="25"/>
      <c r="D16" s="23">
        <f>17.8+101.4</f>
        <v>119.2</v>
      </c>
      <c r="E16" s="25"/>
      <c r="F16" s="25"/>
      <c r="G16" s="25"/>
      <c r="H16" s="25"/>
      <c r="I16" s="25"/>
      <c r="J16" s="25"/>
      <c r="K16" s="25"/>
      <c r="L16" s="25"/>
      <c r="M16" s="25"/>
      <c r="N16" s="23">
        <v>383</v>
      </c>
      <c r="O16" s="23">
        <v>380</v>
      </c>
      <c r="P16" s="23">
        <f>76+487</f>
        <v>563</v>
      </c>
      <c r="Q16" s="23">
        <v>425</v>
      </c>
      <c r="R16" s="25"/>
      <c r="S16" s="17">
        <v>0</v>
      </c>
      <c r="T16" s="28" t="str">
        <f t="shared" si="3"/>
        <v>ND</v>
      </c>
      <c r="U16" s="30" t="str">
        <f t="shared" si="4"/>
        <v>ND</v>
      </c>
      <c r="V16" s="30">
        <f t="shared" si="5"/>
        <v>0.8585176128093159</v>
      </c>
      <c r="W16" s="30" t="str">
        <f t="shared" si="6"/>
        <v>ND</v>
      </c>
      <c r="X16" s="30" t="str">
        <f t="shared" si="7"/>
        <v>ND</v>
      </c>
      <c r="Y16" s="30" t="str">
        <f t="shared" si="8"/>
        <v>ND</v>
      </c>
      <c r="Z16" s="30" t="str">
        <f t="shared" si="9"/>
        <v>ND</v>
      </c>
      <c r="AA16" s="30" t="str">
        <f t="shared" si="10"/>
        <v>ND</v>
      </c>
      <c r="AB16" s="30" t="str">
        <f t="shared" si="11"/>
        <v>ND</v>
      </c>
      <c r="AC16" s="30" t="str">
        <f t="shared" si="12"/>
        <v>ND</v>
      </c>
      <c r="AD16" s="30" t="str">
        <f t="shared" si="13"/>
        <v>ND</v>
      </c>
      <c r="AE16" s="30" t="str">
        <f t="shared" si="14"/>
        <v>ND</v>
      </c>
      <c r="AF16" s="30">
        <f t="shared" si="15"/>
        <v>1.6745955817378495</v>
      </c>
      <c r="AG16" s="30">
        <f t="shared" si="16"/>
        <v>1.790704761904762</v>
      </c>
      <c r="AH16" s="30">
        <f t="shared" si="17"/>
        <v>2.5013983837174494</v>
      </c>
      <c r="AI16" s="30">
        <f t="shared" si="18"/>
        <v>2.044296824368114</v>
      </c>
      <c r="AJ16" s="25"/>
      <c r="AK16" s="13" t="s">
        <v>95</v>
      </c>
      <c r="AL16" s="28" t="str">
        <f t="shared" si="19"/>
        <v>ND</v>
      </c>
      <c r="AM16" s="30" t="str">
        <f t="shared" si="20"/>
        <v>ND</v>
      </c>
      <c r="AN16" s="30">
        <f t="shared" si="21"/>
        <v>0.7726658515283843</v>
      </c>
      <c r="AO16" s="30" t="str">
        <f t="shared" si="22"/>
        <v>ND</v>
      </c>
      <c r="AP16" s="30" t="str">
        <f t="shared" si="23"/>
        <v>ND</v>
      </c>
      <c r="AQ16" s="30" t="str">
        <f t="shared" si="24"/>
        <v>ND</v>
      </c>
      <c r="AR16" s="30" t="str">
        <f t="shared" si="25"/>
        <v>ND</v>
      </c>
      <c r="AS16" s="30" t="str">
        <f t="shared" si="26"/>
        <v>ND</v>
      </c>
      <c r="AT16" s="30" t="str">
        <f t="shared" si="27"/>
        <v>ND</v>
      </c>
      <c r="AU16" s="30" t="str">
        <f t="shared" si="28"/>
        <v>ND</v>
      </c>
      <c r="AV16" s="30" t="str">
        <f t="shared" si="29"/>
        <v>ND</v>
      </c>
      <c r="AW16" s="30" t="str">
        <f t="shared" si="30"/>
        <v>ND</v>
      </c>
      <c r="AX16" s="30">
        <f t="shared" si="31"/>
        <v>1.5071360235640647</v>
      </c>
      <c r="AY16" s="30">
        <f t="shared" si="32"/>
        <v>1.6116342857142858</v>
      </c>
      <c r="AZ16" s="30">
        <f t="shared" si="33"/>
        <v>2.2512585453457046</v>
      </c>
      <c r="BA16" s="30">
        <f t="shared" si="34"/>
        <v>1.8398671419313024</v>
      </c>
      <c r="BB16" s="30"/>
      <c r="BC16" s="35" t="s">
        <v>95</v>
      </c>
      <c r="BD16" s="28">
        <f t="shared" si="35"/>
        <v>222.28889999999998</v>
      </c>
      <c r="BE16" s="30">
        <f t="shared" si="36"/>
        <v>58.8268782816229</v>
      </c>
      <c r="BF16" s="30">
        <f t="shared" si="37"/>
        <v>77.13175755458515</v>
      </c>
      <c r="BG16" s="30">
        <f t="shared" si="38"/>
        <v>0</v>
      </c>
      <c r="BH16" s="30">
        <f t="shared" si="39"/>
        <v>0</v>
      </c>
      <c r="BI16" s="30">
        <f t="shared" si="40"/>
        <v>0</v>
      </c>
      <c r="BJ16" s="30">
        <f t="shared" si="41"/>
        <v>0</v>
      </c>
      <c r="BK16" s="30">
        <f t="shared" si="42"/>
        <v>0</v>
      </c>
      <c r="BL16" s="30">
        <f t="shared" si="43"/>
        <v>0</v>
      </c>
      <c r="BM16" s="30">
        <f t="shared" si="44"/>
        <v>0</v>
      </c>
      <c r="BN16" s="30">
        <f t="shared" si="45"/>
        <v>0</v>
      </c>
      <c r="BO16" s="30">
        <f t="shared" si="46"/>
        <v>0</v>
      </c>
      <c r="BP16" s="30">
        <f t="shared" si="47"/>
        <v>337.56305354933727</v>
      </c>
      <c r="BQ16" s="30">
        <f t="shared" si="48"/>
        <v>340.90306285714286</v>
      </c>
      <c r="BR16" s="30">
        <f t="shared" si="49"/>
        <v>304.5516955402574</v>
      </c>
      <c r="BS16" s="30">
        <f t="shared" si="50"/>
        <v>243.4036001296176</v>
      </c>
      <c r="BT16" s="25"/>
      <c r="BU16" s="11">
        <f t="shared" si="51"/>
        <v>1.5965123696167483</v>
      </c>
      <c r="BV16" s="4">
        <f t="shared" si="52"/>
        <v>99.0418092445352</v>
      </c>
      <c r="BX16" s="4">
        <f t="shared" si="53"/>
        <v>225.24091229492564</v>
      </c>
    </row>
    <row r="17" spans="1:76" ht="15">
      <c r="A17" s="13" t="s">
        <v>15</v>
      </c>
      <c r="B17" s="17">
        <f>37.3+57.5</f>
        <v>94.8</v>
      </c>
      <c r="C17" s="23">
        <f>44.1+207.9</f>
        <v>252</v>
      </c>
      <c r="D17" s="23">
        <v>51.2</v>
      </c>
      <c r="E17" s="25"/>
      <c r="F17" s="23">
        <v>19.1</v>
      </c>
      <c r="G17" s="25"/>
      <c r="H17" s="25"/>
      <c r="I17" s="25"/>
      <c r="J17" s="25"/>
      <c r="K17" s="23">
        <v>36.8</v>
      </c>
      <c r="L17" s="25"/>
      <c r="M17" s="23">
        <v>18.2</v>
      </c>
      <c r="N17" s="23">
        <v>78.7</v>
      </c>
      <c r="O17" s="23">
        <v>50.6</v>
      </c>
      <c r="P17" s="25"/>
      <c r="Q17" s="25"/>
      <c r="R17" s="25"/>
      <c r="S17" s="17">
        <v>0</v>
      </c>
      <c r="T17" s="28">
        <f t="shared" si="3"/>
        <v>0.39089199999999996</v>
      </c>
      <c r="U17" s="30">
        <f t="shared" si="4"/>
        <v>1.1159570405727923</v>
      </c>
      <c r="V17" s="30">
        <f t="shared" si="5"/>
        <v>0.3687592430858806</v>
      </c>
      <c r="W17" s="30" t="str">
        <f t="shared" si="6"/>
        <v>ND</v>
      </c>
      <c r="X17" s="30">
        <f t="shared" si="7"/>
        <v>0.08941040681173132</v>
      </c>
      <c r="Y17" s="30" t="str">
        <f t="shared" si="8"/>
        <v>ND</v>
      </c>
      <c r="Z17" s="30" t="str">
        <f t="shared" si="9"/>
        <v>ND</v>
      </c>
      <c r="AA17" s="30" t="str">
        <f t="shared" si="10"/>
        <v>ND</v>
      </c>
      <c r="AB17" s="30" t="str">
        <f t="shared" si="11"/>
        <v>ND</v>
      </c>
      <c r="AC17" s="30">
        <f t="shared" si="12"/>
        <v>0.15267166014533257</v>
      </c>
      <c r="AD17" s="30" t="str">
        <f t="shared" si="13"/>
        <v>ND</v>
      </c>
      <c r="AE17" s="30">
        <f t="shared" si="14"/>
        <v>0.08002393364928909</v>
      </c>
      <c r="AF17" s="30">
        <f t="shared" si="15"/>
        <v>0.3441009720176731</v>
      </c>
      <c r="AG17" s="30">
        <f t="shared" si="16"/>
        <v>0.2384464761904762</v>
      </c>
      <c r="AH17" s="30" t="str">
        <f t="shared" si="17"/>
        <v>ND</v>
      </c>
      <c r="AI17" s="30" t="str">
        <f t="shared" si="18"/>
        <v>ND</v>
      </c>
      <c r="AJ17" s="25"/>
      <c r="AK17" s="13" t="s">
        <v>15</v>
      </c>
      <c r="AL17" s="28">
        <f t="shared" si="19"/>
        <v>0.35180279999999997</v>
      </c>
      <c r="AM17" s="30">
        <f t="shared" si="20"/>
        <v>1.004361336515513</v>
      </c>
      <c r="AN17" s="30">
        <f t="shared" si="21"/>
        <v>0.33188331877729255</v>
      </c>
      <c r="AO17" s="30" t="str">
        <f t="shared" si="22"/>
        <v>ND</v>
      </c>
      <c r="AP17" s="30">
        <f t="shared" si="23"/>
        <v>0.08046936613055819</v>
      </c>
      <c r="AQ17" s="30" t="str">
        <f t="shared" si="24"/>
        <v>ND</v>
      </c>
      <c r="AR17" s="30" t="str">
        <f t="shared" si="25"/>
        <v>ND</v>
      </c>
      <c r="AS17" s="30" t="str">
        <f t="shared" si="26"/>
        <v>ND</v>
      </c>
      <c r="AT17" s="30" t="str">
        <f t="shared" si="27"/>
        <v>ND</v>
      </c>
      <c r="AU17" s="30">
        <f t="shared" si="28"/>
        <v>0.13740449413079933</v>
      </c>
      <c r="AV17" s="30" t="str">
        <f t="shared" si="29"/>
        <v>ND</v>
      </c>
      <c r="AW17" s="30">
        <f t="shared" si="30"/>
        <v>0.07202154028436017</v>
      </c>
      <c r="AX17" s="30">
        <f t="shared" si="31"/>
        <v>0.3096908748159058</v>
      </c>
      <c r="AY17" s="30">
        <f t="shared" si="32"/>
        <v>0.2146018285714286</v>
      </c>
      <c r="AZ17" s="30" t="str">
        <f t="shared" si="33"/>
        <v>ND</v>
      </c>
      <c r="BA17" s="30" t="str">
        <f t="shared" si="34"/>
        <v>ND</v>
      </c>
      <c r="BB17" s="30"/>
      <c r="BC17" s="35" t="s">
        <v>15</v>
      </c>
      <c r="BD17" s="28">
        <f t="shared" si="35"/>
        <v>0.35180279999999997</v>
      </c>
      <c r="BE17" s="30">
        <f t="shared" si="36"/>
        <v>47.63542338902148</v>
      </c>
      <c r="BF17" s="30">
        <f t="shared" si="37"/>
        <v>22.8895776419214</v>
      </c>
      <c r="BG17" s="30">
        <f t="shared" si="38"/>
        <v>0</v>
      </c>
      <c r="BH17" s="30">
        <f t="shared" si="39"/>
        <v>0.08046936613055819</v>
      </c>
      <c r="BI17" s="30">
        <f t="shared" si="40"/>
        <v>0</v>
      </c>
      <c r="BJ17" s="30">
        <f t="shared" si="41"/>
        <v>12.753794749403342</v>
      </c>
      <c r="BK17" s="30">
        <f t="shared" si="42"/>
        <v>0</v>
      </c>
      <c r="BL17" s="30">
        <f t="shared" si="43"/>
        <v>21.423143964232487</v>
      </c>
      <c r="BM17" s="30">
        <f t="shared" si="44"/>
        <v>0.13740449413079933</v>
      </c>
      <c r="BN17" s="30">
        <f t="shared" si="45"/>
        <v>0</v>
      </c>
      <c r="BO17" s="30">
        <f t="shared" si="46"/>
        <v>0.07202154028436017</v>
      </c>
      <c r="BP17" s="30">
        <f t="shared" si="47"/>
        <v>0.3096908748159058</v>
      </c>
      <c r="BQ17" s="30">
        <f t="shared" si="48"/>
        <v>0.2146018285714286</v>
      </c>
      <c r="BR17" s="30">
        <f t="shared" si="49"/>
        <v>31.98946423226578</v>
      </c>
      <c r="BS17" s="30">
        <f t="shared" si="50"/>
        <v>33.420645495787426</v>
      </c>
      <c r="BT17" s="25"/>
      <c r="BU17" s="11">
        <f t="shared" si="51"/>
        <v>0.3127794449032322</v>
      </c>
      <c r="BV17" s="4">
        <f t="shared" si="52"/>
        <v>10.70487752353531</v>
      </c>
      <c r="BX17" s="4">
        <f t="shared" si="53"/>
        <v>28.129300802889855</v>
      </c>
    </row>
    <row r="18" spans="1:76" ht="15">
      <c r="A18" s="13" t="s">
        <v>16</v>
      </c>
      <c r="B18" s="17">
        <f>28.2+55.7</f>
        <v>83.9</v>
      </c>
      <c r="C18" s="23">
        <f>36.2+138.9</f>
        <v>175.10000000000002</v>
      </c>
      <c r="D18" s="23">
        <f>3+51.7</f>
        <v>54.7</v>
      </c>
      <c r="E18" s="23">
        <v>18.6</v>
      </c>
      <c r="F18" s="23">
        <v>14.7</v>
      </c>
      <c r="G18" s="25"/>
      <c r="H18" s="23">
        <v>9.1</v>
      </c>
      <c r="I18" s="23">
        <v>3.5</v>
      </c>
      <c r="J18" s="23">
        <v>56.5</v>
      </c>
      <c r="K18" s="23">
        <v>30.6</v>
      </c>
      <c r="L18" s="23">
        <v>45.2</v>
      </c>
      <c r="M18" s="23">
        <v>16.3</v>
      </c>
      <c r="N18" s="23">
        <v>108.2</v>
      </c>
      <c r="O18" s="23">
        <v>44.1</v>
      </c>
      <c r="P18" s="23">
        <f>12.7+11.7</f>
        <v>24.4</v>
      </c>
      <c r="Q18" s="23">
        <v>15</v>
      </c>
      <c r="R18" s="25"/>
      <c r="S18" s="17">
        <v>0</v>
      </c>
      <c r="T18" s="28">
        <f t="shared" si="3"/>
        <v>0.34594766666666665</v>
      </c>
      <c r="U18" s="30">
        <f t="shared" si="4"/>
        <v>0.7754130071599047</v>
      </c>
      <c r="V18" s="30">
        <f t="shared" si="5"/>
        <v>0.39396739446870455</v>
      </c>
      <c r="W18" s="30">
        <f t="shared" si="6"/>
        <v>0.08843638693145421</v>
      </c>
      <c r="X18" s="30">
        <f t="shared" si="7"/>
        <v>0.06881324503311258</v>
      </c>
      <c r="Y18" s="30" t="str">
        <f t="shared" si="8"/>
        <v>ND</v>
      </c>
      <c r="Z18" s="30">
        <f t="shared" si="9"/>
        <v>0.04029844868735084</v>
      </c>
      <c r="AA18" s="30">
        <f t="shared" si="10"/>
        <v>0.02506222865412445</v>
      </c>
      <c r="AB18" s="30">
        <f t="shared" si="11"/>
        <v>0.24998092399403876</v>
      </c>
      <c r="AC18" s="30">
        <f t="shared" si="12"/>
        <v>0.12694980435997763</v>
      </c>
      <c r="AD18" s="30">
        <f t="shared" si="13"/>
        <v>0.17564104712041886</v>
      </c>
      <c r="AE18" s="30">
        <f t="shared" si="14"/>
        <v>0.07166978672985783</v>
      </c>
      <c r="AF18" s="30">
        <f t="shared" si="15"/>
        <v>0.4730841826215022</v>
      </c>
      <c r="AG18" s="30">
        <f t="shared" si="16"/>
        <v>0.207816</v>
      </c>
      <c r="AH18" s="30">
        <f t="shared" si="17"/>
        <v>0.10840873989823403</v>
      </c>
      <c r="AI18" s="30">
        <f t="shared" si="18"/>
        <v>0.07215165262475695</v>
      </c>
      <c r="AJ18" s="25"/>
      <c r="AK18" s="13" t="s">
        <v>16</v>
      </c>
      <c r="AL18" s="28">
        <f t="shared" si="19"/>
        <v>0.3113529</v>
      </c>
      <c r="AM18" s="30">
        <f t="shared" si="20"/>
        <v>0.6978717064439143</v>
      </c>
      <c r="AN18" s="30">
        <f t="shared" si="21"/>
        <v>0.3545706550218341</v>
      </c>
      <c r="AO18" s="30">
        <f t="shared" si="22"/>
        <v>0.07959274823830878</v>
      </c>
      <c r="AP18" s="30">
        <f t="shared" si="23"/>
        <v>0.06193192052980132</v>
      </c>
      <c r="AQ18" s="30" t="str">
        <f t="shared" si="24"/>
        <v>ND</v>
      </c>
      <c r="AR18" s="30">
        <f t="shared" si="25"/>
        <v>0.036268603818615755</v>
      </c>
      <c r="AS18" s="30">
        <f t="shared" si="26"/>
        <v>0.022556005788712006</v>
      </c>
      <c r="AT18" s="30">
        <f t="shared" si="27"/>
        <v>0.22498283159463486</v>
      </c>
      <c r="AU18" s="30">
        <f t="shared" si="28"/>
        <v>0.11425482392397987</v>
      </c>
      <c r="AV18" s="30">
        <f t="shared" si="29"/>
        <v>0.158076942408377</v>
      </c>
      <c r="AW18" s="30">
        <f t="shared" si="30"/>
        <v>0.06450280805687204</v>
      </c>
      <c r="AX18" s="30">
        <f t="shared" si="31"/>
        <v>0.425775764359352</v>
      </c>
      <c r="AY18" s="30">
        <f t="shared" si="32"/>
        <v>0.18703440000000002</v>
      </c>
      <c r="AZ18" s="30">
        <f t="shared" si="33"/>
        <v>0.09756786590841064</v>
      </c>
      <c r="BA18" s="30">
        <f t="shared" si="34"/>
        <v>0.06493648736228126</v>
      </c>
      <c r="BB18" s="30"/>
      <c r="BC18" s="35" t="s">
        <v>16</v>
      </c>
      <c r="BD18" s="28">
        <f t="shared" si="35"/>
        <v>52.7106729</v>
      </c>
      <c r="BE18" s="30">
        <f t="shared" si="36"/>
        <v>77.77861872315036</v>
      </c>
      <c r="BF18" s="30">
        <f t="shared" si="37"/>
        <v>47.54423004366812</v>
      </c>
      <c r="BG18" s="30">
        <f t="shared" si="38"/>
        <v>6.840697168481743</v>
      </c>
      <c r="BH18" s="30">
        <f t="shared" si="39"/>
        <v>4.612032204351939</v>
      </c>
      <c r="BI18" s="30">
        <f t="shared" si="40"/>
        <v>0</v>
      </c>
      <c r="BJ18" s="30">
        <f t="shared" si="41"/>
        <v>19.8046504653938</v>
      </c>
      <c r="BK18" s="30">
        <f t="shared" si="42"/>
        <v>27.863111722141824</v>
      </c>
      <c r="BL18" s="30">
        <f t="shared" si="43"/>
        <v>16.07333096870343</v>
      </c>
      <c r="BM18" s="30">
        <f t="shared" si="44"/>
        <v>12.585206193404135</v>
      </c>
      <c r="BN18" s="30">
        <f t="shared" si="45"/>
        <v>0.158076942408377</v>
      </c>
      <c r="BO18" s="30">
        <f t="shared" si="46"/>
        <v>17.555448305687204</v>
      </c>
      <c r="BP18" s="30">
        <f t="shared" si="47"/>
        <v>55.35950654491899</v>
      </c>
      <c r="BQ18" s="30">
        <f t="shared" si="48"/>
        <v>24.61601725714286</v>
      </c>
      <c r="BR18" s="30">
        <f t="shared" si="49"/>
        <v>58.63828741095481</v>
      </c>
      <c r="BS18" s="30">
        <f t="shared" si="50"/>
        <v>30.888122488658453</v>
      </c>
      <c r="BT18" s="25"/>
      <c r="BU18" s="11">
        <f t="shared" si="51"/>
        <v>0.19341843089700625</v>
      </c>
      <c r="BV18" s="4">
        <f t="shared" si="52"/>
        <v>28.31425058369163</v>
      </c>
      <c r="BX18" s="4">
        <f t="shared" si="53"/>
        <v>32.15190949111506</v>
      </c>
    </row>
    <row r="19" spans="1:76" ht="15">
      <c r="A19" s="13" t="s">
        <v>17</v>
      </c>
      <c r="B19" s="17">
        <f>67.7+83</f>
        <v>150.7</v>
      </c>
      <c r="C19" s="23">
        <f>96.5+207.9</f>
        <v>304.4</v>
      </c>
      <c r="D19" s="23">
        <v>144.8</v>
      </c>
      <c r="E19" s="23">
        <v>74.4</v>
      </c>
      <c r="F19" s="23">
        <v>50.3</v>
      </c>
      <c r="G19" s="25"/>
      <c r="H19" s="23">
        <v>8.4</v>
      </c>
      <c r="I19" s="25"/>
      <c r="J19" s="25"/>
      <c r="K19" s="25"/>
      <c r="L19" s="23">
        <v>77.5</v>
      </c>
      <c r="M19" s="23">
        <v>40.1</v>
      </c>
      <c r="N19" s="23">
        <v>88.5</v>
      </c>
      <c r="O19" s="23">
        <v>108.8</v>
      </c>
      <c r="P19" s="25"/>
      <c r="Q19" s="23">
        <v>9.4</v>
      </c>
      <c r="R19" s="25"/>
      <c r="S19" s="17">
        <v>0</v>
      </c>
      <c r="T19" s="28">
        <f t="shared" si="3"/>
        <v>0.6213863333333333</v>
      </c>
      <c r="U19" s="30">
        <f t="shared" si="4"/>
        <v>1.3480052505966587</v>
      </c>
      <c r="V19" s="30">
        <f t="shared" si="5"/>
        <v>1.0428972343522562</v>
      </c>
      <c r="W19" s="30">
        <f t="shared" si="6"/>
        <v>0.35374554772581684</v>
      </c>
      <c r="X19" s="30">
        <f t="shared" si="7"/>
        <v>0.23546300851466412</v>
      </c>
      <c r="Y19" s="30" t="str">
        <f t="shared" si="8"/>
        <v>ND</v>
      </c>
      <c r="Z19" s="30">
        <f t="shared" si="9"/>
        <v>0.037198568019093076</v>
      </c>
      <c r="AA19" s="30" t="str">
        <f t="shared" si="10"/>
        <v>ND</v>
      </c>
      <c r="AB19" s="30" t="str">
        <f t="shared" si="11"/>
        <v>ND</v>
      </c>
      <c r="AC19" s="30" t="str">
        <f t="shared" si="12"/>
        <v>ND</v>
      </c>
      <c r="AD19" s="30">
        <f t="shared" si="13"/>
        <v>0.3011544502617801</v>
      </c>
      <c r="AE19" s="30">
        <f t="shared" si="14"/>
        <v>0.1763164691943128</v>
      </c>
      <c r="AF19" s="30">
        <f t="shared" si="15"/>
        <v>0.38694963181148745</v>
      </c>
      <c r="AG19" s="30">
        <f t="shared" si="16"/>
        <v>0.5127070476190476</v>
      </c>
      <c r="AH19" s="30" t="str">
        <f t="shared" si="17"/>
        <v>ND</v>
      </c>
      <c r="AI19" s="30">
        <f t="shared" si="18"/>
        <v>0.0452150356448477</v>
      </c>
      <c r="AJ19" s="25"/>
      <c r="AK19" s="13" t="s">
        <v>17</v>
      </c>
      <c r="AL19" s="28">
        <f t="shared" si="19"/>
        <v>0.5592477</v>
      </c>
      <c r="AM19" s="30">
        <f t="shared" si="20"/>
        <v>1.2132047255369929</v>
      </c>
      <c r="AN19" s="30">
        <f t="shared" si="21"/>
        <v>0.9386075109170307</v>
      </c>
      <c r="AO19" s="30">
        <f t="shared" si="22"/>
        <v>0.3183709929532351</v>
      </c>
      <c r="AP19" s="30">
        <f t="shared" si="23"/>
        <v>0.2119167076631977</v>
      </c>
      <c r="AQ19" s="30" t="str">
        <f t="shared" si="24"/>
        <v>ND</v>
      </c>
      <c r="AR19" s="30">
        <f t="shared" si="25"/>
        <v>0.03347871121718377</v>
      </c>
      <c r="AS19" s="30" t="str">
        <f t="shared" si="26"/>
        <v>ND</v>
      </c>
      <c r="AT19" s="30" t="str">
        <f t="shared" si="27"/>
        <v>ND</v>
      </c>
      <c r="AU19" s="30" t="str">
        <f t="shared" si="28"/>
        <v>ND</v>
      </c>
      <c r="AV19" s="30">
        <f t="shared" si="29"/>
        <v>0.2710390052356021</v>
      </c>
      <c r="AW19" s="30">
        <f t="shared" si="30"/>
        <v>0.15868482227488154</v>
      </c>
      <c r="AX19" s="30">
        <f t="shared" si="31"/>
        <v>0.3482546686303387</v>
      </c>
      <c r="AY19" s="30">
        <f t="shared" si="32"/>
        <v>0.46143634285714286</v>
      </c>
      <c r="AZ19" s="30" t="str">
        <f t="shared" si="33"/>
        <v>ND</v>
      </c>
      <c r="BA19" s="30">
        <f t="shared" si="34"/>
        <v>0.04069353208036293</v>
      </c>
      <c r="BB19" s="30"/>
      <c r="BC19" s="35" t="s">
        <v>17</v>
      </c>
      <c r="BD19" s="28">
        <f t="shared" si="35"/>
        <v>0.5592477</v>
      </c>
      <c r="BE19" s="30">
        <f t="shared" si="36"/>
        <v>74.54752453460621</v>
      </c>
      <c r="BF19" s="30">
        <f t="shared" si="37"/>
        <v>52.92501799126638</v>
      </c>
      <c r="BG19" s="30">
        <f t="shared" si="38"/>
        <v>11.52982262652146</v>
      </c>
      <c r="BH19" s="30">
        <f t="shared" si="39"/>
        <v>17.991012261116367</v>
      </c>
      <c r="BI19" s="30">
        <f t="shared" si="40"/>
        <v>0</v>
      </c>
      <c r="BJ19" s="30">
        <f t="shared" si="41"/>
        <v>44.671760334128884</v>
      </c>
      <c r="BK19" s="30">
        <f t="shared" si="42"/>
        <v>49.49432127351664</v>
      </c>
      <c r="BL19" s="30">
        <f t="shared" si="43"/>
        <v>0</v>
      </c>
      <c r="BM19" s="30">
        <f t="shared" si="44"/>
        <v>0</v>
      </c>
      <c r="BN19" s="30">
        <f t="shared" si="45"/>
        <v>23.492961518324606</v>
      </c>
      <c r="BO19" s="30">
        <f t="shared" si="46"/>
        <v>0.15868482227488154</v>
      </c>
      <c r="BP19" s="30">
        <f t="shared" si="47"/>
        <v>14.199739793814436</v>
      </c>
      <c r="BQ19" s="30">
        <f t="shared" si="48"/>
        <v>39.225482057142855</v>
      </c>
      <c r="BR19" s="30">
        <f t="shared" si="49"/>
        <v>35.90817360071835</v>
      </c>
      <c r="BS19" s="30">
        <f t="shared" si="50"/>
        <v>56.75189249513934</v>
      </c>
      <c r="BT19" s="25"/>
      <c r="BU19" s="11">
        <f t="shared" si="51"/>
        <v>0.4140849744878153</v>
      </c>
      <c r="BV19" s="4">
        <f t="shared" si="52"/>
        <v>26.34097756303565</v>
      </c>
      <c r="BX19" s="4">
        <f t="shared" si="53"/>
        <v>37.90006420810949</v>
      </c>
    </row>
    <row r="20" spans="1:76" ht="15">
      <c r="A20" s="13" t="s">
        <v>18</v>
      </c>
      <c r="B20" s="17">
        <f>20.9+7.9</f>
        <v>28.799999999999997</v>
      </c>
      <c r="C20" s="23">
        <f>19.9+25.8</f>
        <v>45.7</v>
      </c>
      <c r="D20" s="23">
        <f>11.8+16.8</f>
        <v>28.6</v>
      </c>
      <c r="E20" s="25"/>
      <c r="F20" s="23">
        <v>7.7</v>
      </c>
      <c r="G20" s="23">
        <v>25.5</v>
      </c>
      <c r="H20" s="25"/>
      <c r="I20" s="23">
        <v>15.4</v>
      </c>
      <c r="J20" s="25"/>
      <c r="K20" s="23">
        <v>12.4</v>
      </c>
      <c r="L20" s="25"/>
      <c r="M20" s="25"/>
      <c r="N20" s="23">
        <v>15.4</v>
      </c>
      <c r="O20" s="25"/>
      <c r="P20" s="23">
        <f>18.6+27.9</f>
        <v>46.5</v>
      </c>
      <c r="Q20" s="23">
        <v>30.7</v>
      </c>
      <c r="R20" s="25"/>
      <c r="S20" s="17">
        <v>18.6</v>
      </c>
      <c r="T20" s="28">
        <f t="shared" si="3"/>
        <v>0.042057999999999984</v>
      </c>
      <c r="U20" s="30">
        <f t="shared" si="4"/>
        <v>0.12000966587112173</v>
      </c>
      <c r="V20" s="30">
        <f t="shared" si="5"/>
        <v>0.07202328966521106</v>
      </c>
      <c r="W20" s="30" t="str">
        <f t="shared" si="6"/>
        <v>ND</v>
      </c>
      <c r="X20" s="30" t="str">
        <f t="shared" si="7"/>
        <v>ND</v>
      </c>
      <c r="Y20" s="30">
        <f t="shared" si="8"/>
        <v>0.08754153846153845</v>
      </c>
      <c r="Z20" s="30" t="str">
        <f t="shared" si="9"/>
        <v>ND</v>
      </c>
      <c r="AA20" s="30" t="str">
        <f t="shared" si="10"/>
        <v>ND</v>
      </c>
      <c r="AB20" s="30" t="str">
        <f t="shared" si="11"/>
        <v>ND</v>
      </c>
      <c r="AC20" s="30" t="str">
        <f t="shared" si="12"/>
        <v>ND</v>
      </c>
      <c r="AD20" s="30" t="str">
        <f t="shared" si="13"/>
        <v>ND</v>
      </c>
      <c r="AE20" s="30" t="str">
        <f t="shared" si="14"/>
        <v>ND</v>
      </c>
      <c r="AF20" s="30" t="str">
        <f t="shared" si="15"/>
        <v>ND</v>
      </c>
      <c r="AG20" s="30" t="str">
        <f t="shared" si="16"/>
        <v>ND</v>
      </c>
      <c r="AH20" s="30">
        <f t="shared" si="17"/>
        <v>0.1239591739000299</v>
      </c>
      <c r="AI20" s="30">
        <f t="shared" si="18"/>
        <v>0.05820233311730394</v>
      </c>
      <c r="AJ20" s="25"/>
      <c r="AK20" s="13" t="s">
        <v>18</v>
      </c>
      <c r="AL20" s="28">
        <f t="shared" si="19"/>
        <v>0.03785219999999998</v>
      </c>
      <c r="AM20" s="30">
        <f t="shared" si="20"/>
        <v>0.10800869928400957</v>
      </c>
      <c r="AN20" s="30">
        <f t="shared" si="21"/>
        <v>0.06482096069868995</v>
      </c>
      <c r="AO20" s="30" t="str">
        <f t="shared" si="22"/>
        <v>ND</v>
      </c>
      <c r="AP20" s="30" t="str">
        <f t="shared" si="23"/>
        <v>ND</v>
      </c>
      <c r="AQ20" s="30">
        <f t="shared" si="24"/>
        <v>0.0787873846153846</v>
      </c>
      <c r="AR20" s="30" t="str">
        <f t="shared" si="25"/>
        <v>ND</v>
      </c>
      <c r="AS20" s="30" t="str">
        <f t="shared" si="26"/>
        <v>ND</v>
      </c>
      <c r="AT20" s="30" t="str">
        <f t="shared" si="27"/>
        <v>ND</v>
      </c>
      <c r="AU20" s="30" t="str">
        <f t="shared" si="28"/>
        <v>ND</v>
      </c>
      <c r="AV20" s="30" t="str">
        <f t="shared" si="29"/>
        <v>ND</v>
      </c>
      <c r="AW20" s="30" t="str">
        <f t="shared" si="30"/>
        <v>ND</v>
      </c>
      <c r="AX20" s="30" t="str">
        <f t="shared" si="31"/>
        <v>ND</v>
      </c>
      <c r="AY20" s="30" t="str">
        <f t="shared" si="32"/>
        <v>ND</v>
      </c>
      <c r="AZ20" s="30">
        <f t="shared" si="33"/>
        <v>0.11156325651002692</v>
      </c>
      <c r="BA20" s="30">
        <f t="shared" si="34"/>
        <v>0.05238209980557355</v>
      </c>
      <c r="BB20" s="30"/>
      <c r="BC20" s="35" t="s">
        <v>18</v>
      </c>
      <c r="BD20" s="28">
        <f t="shared" si="35"/>
        <v>30.393832200000002</v>
      </c>
      <c r="BE20" s="30">
        <f t="shared" si="36"/>
        <v>42.0361089379475</v>
      </c>
      <c r="BF20" s="30">
        <f t="shared" si="37"/>
        <v>16.27006113537118</v>
      </c>
      <c r="BG20" s="30">
        <f t="shared" si="38"/>
        <v>0</v>
      </c>
      <c r="BH20" s="30">
        <f t="shared" si="39"/>
        <v>0</v>
      </c>
      <c r="BI20" s="30">
        <f t="shared" si="40"/>
        <v>22.458972</v>
      </c>
      <c r="BJ20" s="30">
        <f t="shared" si="41"/>
        <v>0</v>
      </c>
      <c r="BK20" s="30">
        <f t="shared" si="42"/>
        <v>0</v>
      </c>
      <c r="BL20" s="30">
        <f t="shared" si="43"/>
        <v>0</v>
      </c>
      <c r="BM20" s="30">
        <f t="shared" si="44"/>
        <v>0</v>
      </c>
      <c r="BN20" s="30">
        <f t="shared" si="45"/>
        <v>43.576077486911</v>
      </c>
      <c r="BO20" s="30">
        <f t="shared" si="46"/>
        <v>0.3165781990521316</v>
      </c>
      <c r="BP20" s="30">
        <f t="shared" si="47"/>
        <v>3.069363181148747</v>
      </c>
      <c r="BQ20" s="30">
        <f t="shared" si="48"/>
        <v>19.763725714285712</v>
      </c>
      <c r="BR20" s="30">
        <f t="shared" si="49"/>
        <v>32.82079043400179</v>
      </c>
      <c r="BS20" s="30">
        <f t="shared" si="50"/>
        <v>11.13487594296824</v>
      </c>
      <c r="BT20" s="25"/>
      <c r="BU20" s="11">
        <f t="shared" si="51"/>
        <v>0.07556910015228076</v>
      </c>
      <c r="BV20" s="4">
        <f t="shared" si="52"/>
        <v>13.865024076980397</v>
      </c>
      <c r="BX20" s="4">
        <f t="shared" si="53"/>
        <v>22.138697063077267</v>
      </c>
    </row>
    <row r="21" spans="1:76" ht="15">
      <c r="A21" s="13" t="s">
        <v>19</v>
      </c>
      <c r="B21" s="18"/>
      <c r="C21" s="23">
        <v>35</v>
      </c>
      <c r="D21" s="25"/>
      <c r="E21" s="23">
        <v>9.8</v>
      </c>
      <c r="F21" s="23">
        <v>7.8</v>
      </c>
      <c r="G21" s="25"/>
      <c r="H21" s="23">
        <v>168.6</v>
      </c>
      <c r="I21" s="25"/>
      <c r="J21" s="25"/>
      <c r="K21" s="25"/>
      <c r="L21" s="23">
        <v>211.9</v>
      </c>
      <c r="M21" s="23">
        <v>8.1</v>
      </c>
      <c r="N21" s="23">
        <v>20.6</v>
      </c>
      <c r="O21" s="23">
        <v>17.7</v>
      </c>
      <c r="P21" s="23">
        <v>33.2</v>
      </c>
      <c r="Q21" s="23">
        <v>25.6</v>
      </c>
      <c r="R21" s="25"/>
      <c r="S21" s="17">
        <v>50.6</v>
      </c>
      <c r="T21" s="28" t="str">
        <f t="shared" si="3"/>
        <v>ND</v>
      </c>
      <c r="U21" s="30" t="str">
        <f t="shared" si="4"/>
        <v>ND</v>
      </c>
      <c r="V21" s="30" t="str">
        <f t="shared" si="5"/>
        <v>ND</v>
      </c>
      <c r="W21" s="30" t="str">
        <f t="shared" si="6"/>
        <v>ND</v>
      </c>
      <c r="X21" s="30" t="str">
        <f t="shared" si="7"/>
        <v>ND</v>
      </c>
      <c r="Y21" s="30" t="str">
        <f t="shared" si="8"/>
        <v>ND</v>
      </c>
      <c r="Z21" s="30">
        <f t="shared" si="9"/>
        <v>0.5225513126491647</v>
      </c>
      <c r="AA21" s="30" t="str">
        <f t="shared" si="10"/>
        <v>ND</v>
      </c>
      <c r="AB21" s="30" t="str">
        <f t="shared" si="11"/>
        <v>ND</v>
      </c>
      <c r="AC21" s="30" t="str">
        <f t="shared" si="12"/>
        <v>ND</v>
      </c>
      <c r="AD21" s="30">
        <f t="shared" si="13"/>
        <v>0.6267898429319372</v>
      </c>
      <c r="AE21" s="30" t="str">
        <f t="shared" si="14"/>
        <v>ND</v>
      </c>
      <c r="AF21" s="30" t="str">
        <f t="shared" si="15"/>
        <v>ND</v>
      </c>
      <c r="AG21" s="30" t="str">
        <f t="shared" si="16"/>
        <v>ND</v>
      </c>
      <c r="AH21" s="30" t="str">
        <f t="shared" si="17"/>
        <v>ND</v>
      </c>
      <c r="AI21" s="30" t="str">
        <f t="shared" si="18"/>
        <v>ND</v>
      </c>
      <c r="AJ21" s="25"/>
      <c r="AK21" s="13" t="s">
        <v>19</v>
      </c>
      <c r="AL21" s="28" t="str">
        <f t="shared" si="19"/>
        <v>ND</v>
      </c>
      <c r="AM21" s="30" t="str">
        <f t="shared" si="20"/>
        <v>ND</v>
      </c>
      <c r="AN21" s="30" t="str">
        <f t="shared" si="21"/>
        <v>ND</v>
      </c>
      <c r="AO21" s="30" t="str">
        <f t="shared" si="22"/>
        <v>ND</v>
      </c>
      <c r="AP21" s="30" t="str">
        <f t="shared" si="23"/>
        <v>ND</v>
      </c>
      <c r="AQ21" s="30" t="str">
        <f t="shared" si="24"/>
        <v>ND</v>
      </c>
      <c r="AR21" s="30">
        <f t="shared" si="25"/>
        <v>0.4702961813842482</v>
      </c>
      <c r="AS21" s="30" t="str">
        <f t="shared" si="26"/>
        <v>ND</v>
      </c>
      <c r="AT21" s="30" t="str">
        <f t="shared" si="27"/>
        <v>ND</v>
      </c>
      <c r="AU21" s="30" t="str">
        <f t="shared" si="28"/>
        <v>ND</v>
      </c>
      <c r="AV21" s="30">
        <f t="shared" si="29"/>
        <v>0.5641108586387436</v>
      </c>
      <c r="AW21" s="30" t="str">
        <f t="shared" si="30"/>
        <v>ND</v>
      </c>
      <c r="AX21" s="30" t="str">
        <f t="shared" si="31"/>
        <v>ND</v>
      </c>
      <c r="AY21" s="30" t="str">
        <f t="shared" si="32"/>
        <v>ND</v>
      </c>
      <c r="AZ21" s="30" t="str">
        <f t="shared" si="33"/>
        <v>ND</v>
      </c>
      <c r="BA21" s="30" t="str">
        <f t="shared" si="34"/>
        <v>ND</v>
      </c>
      <c r="BB21" s="30"/>
      <c r="BC21" s="35" t="s">
        <v>19</v>
      </c>
      <c r="BD21" s="28">
        <f t="shared" si="35"/>
        <v>30.87552</v>
      </c>
      <c r="BE21" s="30">
        <f t="shared" si="36"/>
        <v>37.862828162291166</v>
      </c>
      <c r="BF21" s="30">
        <f t="shared" si="37"/>
        <v>0</v>
      </c>
      <c r="BG21" s="30">
        <f t="shared" si="38"/>
        <v>0</v>
      </c>
      <c r="BH21" s="30">
        <f t="shared" si="39"/>
        <v>0</v>
      </c>
      <c r="BI21" s="30">
        <f t="shared" si="40"/>
        <v>0</v>
      </c>
      <c r="BJ21" s="30">
        <f t="shared" si="41"/>
        <v>0.4702961813842482</v>
      </c>
      <c r="BK21" s="30">
        <f t="shared" si="42"/>
        <v>0</v>
      </c>
      <c r="BL21" s="30">
        <f t="shared" si="43"/>
        <v>0</v>
      </c>
      <c r="BM21" s="30">
        <f t="shared" si="44"/>
        <v>0</v>
      </c>
      <c r="BN21" s="30">
        <f t="shared" si="45"/>
        <v>114.15568363350785</v>
      </c>
      <c r="BO21" s="30">
        <f t="shared" si="46"/>
        <v>0</v>
      </c>
      <c r="BP21" s="30">
        <f t="shared" si="47"/>
        <v>0.39350810014727544</v>
      </c>
      <c r="BQ21" s="30">
        <f t="shared" si="48"/>
        <v>8.82157714285714</v>
      </c>
      <c r="BR21" s="30">
        <f t="shared" si="49"/>
        <v>0</v>
      </c>
      <c r="BS21" s="30">
        <f t="shared" si="50"/>
        <v>0</v>
      </c>
      <c r="BT21" s="25"/>
      <c r="BU21" s="11">
        <f t="shared" si="51"/>
        <v>0.5172035200114959</v>
      </c>
      <c r="BV21" s="4">
        <f t="shared" si="52"/>
        <v>12.03621332626173</v>
      </c>
      <c r="BX21" s="4">
        <f t="shared" si="53"/>
        <v>38.30900123603294</v>
      </c>
    </row>
    <row r="22" spans="1:76" ht="15">
      <c r="A22" s="13" t="s">
        <v>20</v>
      </c>
      <c r="B22" s="18"/>
      <c r="C22" s="25"/>
      <c r="D22" s="25"/>
      <c r="E22" s="25"/>
      <c r="F22" s="25"/>
      <c r="G22" s="25"/>
      <c r="H22" s="23">
        <v>67.4</v>
      </c>
      <c r="I22" s="25"/>
      <c r="J22" s="25"/>
      <c r="K22" s="25"/>
      <c r="L22" s="23">
        <v>103.3</v>
      </c>
      <c r="M22" s="25"/>
      <c r="N22" s="25"/>
      <c r="O22" s="25"/>
      <c r="P22" s="25"/>
      <c r="Q22" s="25"/>
      <c r="R22" s="25"/>
      <c r="S22" s="17">
        <v>0</v>
      </c>
      <c r="T22" s="28" t="str">
        <f t="shared" si="3"/>
        <v>ND</v>
      </c>
      <c r="U22" s="30" t="str">
        <f t="shared" si="4"/>
        <v>ND</v>
      </c>
      <c r="V22" s="30" t="str">
        <f t="shared" si="5"/>
        <v>ND</v>
      </c>
      <c r="W22" s="30" t="str">
        <f t="shared" si="6"/>
        <v>ND</v>
      </c>
      <c r="X22" s="30" t="str">
        <f t="shared" si="7"/>
        <v>ND</v>
      </c>
      <c r="Y22" s="30" t="str">
        <f t="shared" si="8"/>
        <v>ND</v>
      </c>
      <c r="Z22" s="30">
        <f t="shared" si="9"/>
        <v>0.29847422434367543</v>
      </c>
      <c r="AA22" s="30" t="str">
        <f t="shared" si="10"/>
        <v>ND</v>
      </c>
      <c r="AB22" s="30" t="str">
        <f t="shared" si="11"/>
        <v>ND</v>
      </c>
      <c r="AC22" s="30" t="str">
        <f t="shared" si="12"/>
        <v>ND</v>
      </c>
      <c r="AD22" s="30">
        <f t="shared" si="13"/>
        <v>0.4014097382198953</v>
      </c>
      <c r="AE22" s="30" t="str">
        <f t="shared" si="14"/>
        <v>ND</v>
      </c>
      <c r="AF22" s="30" t="str">
        <f t="shared" si="15"/>
        <v>ND</v>
      </c>
      <c r="AG22" s="30" t="str">
        <f t="shared" si="16"/>
        <v>ND</v>
      </c>
      <c r="AH22" s="30" t="str">
        <f t="shared" si="17"/>
        <v>ND</v>
      </c>
      <c r="AI22" s="30" t="str">
        <f t="shared" si="18"/>
        <v>ND</v>
      </c>
      <c r="AJ22" s="25"/>
      <c r="AK22" s="13" t="s">
        <v>20</v>
      </c>
      <c r="AL22" s="28" t="str">
        <f t="shared" si="19"/>
        <v>ND</v>
      </c>
      <c r="AM22" s="30" t="str">
        <f t="shared" si="20"/>
        <v>ND</v>
      </c>
      <c r="AN22" s="30" t="str">
        <f t="shared" si="21"/>
        <v>ND</v>
      </c>
      <c r="AO22" s="30" t="str">
        <f t="shared" si="22"/>
        <v>ND</v>
      </c>
      <c r="AP22" s="30" t="str">
        <f t="shared" si="23"/>
        <v>ND</v>
      </c>
      <c r="AQ22" s="30" t="str">
        <f t="shared" si="24"/>
        <v>ND</v>
      </c>
      <c r="AR22" s="30">
        <f t="shared" si="25"/>
        <v>0.2686268019093079</v>
      </c>
      <c r="AS22" s="30" t="str">
        <f t="shared" si="26"/>
        <v>ND</v>
      </c>
      <c r="AT22" s="30" t="str">
        <f t="shared" si="27"/>
        <v>ND</v>
      </c>
      <c r="AU22" s="30" t="str">
        <f t="shared" si="28"/>
        <v>ND</v>
      </c>
      <c r="AV22" s="30">
        <f t="shared" si="29"/>
        <v>0.3612687643979058</v>
      </c>
      <c r="AW22" s="30" t="str">
        <f t="shared" si="30"/>
        <v>ND</v>
      </c>
      <c r="AX22" s="30" t="str">
        <f t="shared" si="31"/>
        <v>ND</v>
      </c>
      <c r="AY22" s="30" t="str">
        <f t="shared" si="32"/>
        <v>ND</v>
      </c>
      <c r="AZ22" s="30" t="str">
        <f t="shared" si="33"/>
        <v>ND</v>
      </c>
      <c r="BA22" s="30" t="str">
        <f t="shared" si="34"/>
        <v>ND</v>
      </c>
      <c r="BB22" s="30"/>
      <c r="BC22" s="35" t="s">
        <v>20</v>
      </c>
      <c r="BD22" s="28">
        <f t="shared" si="35"/>
        <v>0</v>
      </c>
      <c r="BE22" s="30">
        <f t="shared" si="36"/>
        <v>0</v>
      </c>
      <c r="BF22" s="30">
        <f t="shared" si="37"/>
        <v>0</v>
      </c>
      <c r="BG22" s="30">
        <f t="shared" si="38"/>
        <v>0</v>
      </c>
      <c r="BH22" s="30">
        <f t="shared" si="39"/>
        <v>0</v>
      </c>
      <c r="BI22" s="30">
        <f t="shared" si="40"/>
        <v>0</v>
      </c>
      <c r="BJ22" s="30">
        <f t="shared" si="41"/>
        <v>0.2686268019093079</v>
      </c>
      <c r="BK22" s="30">
        <f t="shared" si="42"/>
        <v>0</v>
      </c>
      <c r="BL22" s="30">
        <f t="shared" si="43"/>
        <v>0</v>
      </c>
      <c r="BM22" s="30">
        <f t="shared" si="44"/>
        <v>0</v>
      </c>
      <c r="BN22" s="30">
        <f t="shared" si="45"/>
        <v>0.3612687643979058</v>
      </c>
      <c r="BO22" s="30">
        <f t="shared" si="46"/>
        <v>0</v>
      </c>
      <c r="BP22" s="30">
        <f t="shared" si="47"/>
        <v>0</v>
      </c>
      <c r="BQ22" s="30">
        <f t="shared" si="48"/>
        <v>0</v>
      </c>
      <c r="BR22" s="30">
        <f t="shared" si="49"/>
        <v>0</v>
      </c>
      <c r="BS22" s="30">
        <f t="shared" si="50"/>
        <v>0</v>
      </c>
      <c r="BT22" s="25"/>
      <c r="BU22" s="11">
        <f t="shared" si="51"/>
        <v>0.31494778315360683</v>
      </c>
      <c r="BV22" s="4">
        <f t="shared" si="52"/>
        <v>0.039368472894200854</v>
      </c>
      <c r="BX22" s="4" t="e">
        <f t="shared" si="53"/>
        <v>#DIV/0!</v>
      </c>
    </row>
    <row r="23" spans="1:76" ht="15">
      <c r="A23" s="13" t="s">
        <v>21</v>
      </c>
      <c r="B23" s="17">
        <v>8.7</v>
      </c>
      <c r="C23" s="23">
        <v>10.5</v>
      </c>
      <c r="D23" s="23">
        <v>6.1</v>
      </c>
      <c r="E23" s="25"/>
      <c r="F23" s="25"/>
      <c r="G23" s="25"/>
      <c r="H23" s="23">
        <v>17.6</v>
      </c>
      <c r="I23" s="23">
        <v>5.1</v>
      </c>
      <c r="J23" s="25"/>
      <c r="K23" s="23">
        <v>13.7</v>
      </c>
      <c r="L23" s="23">
        <v>14.9</v>
      </c>
      <c r="M23" s="25"/>
      <c r="N23" s="23">
        <v>1</v>
      </c>
      <c r="O23" s="25"/>
      <c r="P23" s="23">
        <v>3.1</v>
      </c>
      <c r="Q23" s="23">
        <v>1.98</v>
      </c>
      <c r="R23" s="25"/>
      <c r="S23" s="17">
        <v>0</v>
      </c>
      <c r="T23" s="28">
        <f t="shared" si="3"/>
        <v>0.035872999999999995</v>
      </c>
      <c r="U23" s="30">
        <f t="shared" si="4"/>
        <v>0.04649821002386635</v>
      </c>
      <c r="V23" s="30">
        <f t="shared" si="5"/>
        <v>0.043934206695778744</v>
      </c>
      <c r="W23" s="30" t="str">
        <f t="shared" si="6"/>
        <v>ND</v>
      </c>
      <c r="X23" s="30" t="str">
        <f t="shared" si="7"/>
        <v>ND</v>
      </c>
      <c r="Y23" s="30" t="str">
        <f t="shared" si="8"/>
        <v>ND</v>
      </c>
      <c r="Z23" s="30">
        <f t="shared" si="9"/>
        <v>0.07793985680190932</v>
      </c>
      <c r="AA23" s="30">
        <f t="shared" si="10"/>
        <v>0.03651924746743849</v>
      </c>
      <c r="AB23" s="30" t="str">
        <f t="shared" si="11"/>
        <v>ND</v>
      </c>
      <c r="AC23" s="30">
        <f t="shared" si="12"/>
        <v>0.05683700391280044</v>
      </c>
      <c r="AD23" s="30">
        <f t="shared" si="13"/>
        <v>0.05789937172774869</v>
      </c>
      <c r="AE23" s="30" t="str">
        <f t="shared" si="14"/>
        <v>ND</v>
      </c>
      <c r="AF23" s="30">
        <f t="shared" si="15"/>
        <v>0.004372312223858615</v>
      </c>
      <c r="AG23" s="30" t="str">
        <f t="shared" si="16"/>
        <v>ND</v>
      </c>
      <c r="AH23" s="30">
        <f t="shared" si="17"/>
        <v>0.013773241544447768</v>
      </c>
      <c r="AI23" s="30">
        <f t="shared" si="18"/>
        <v>0.009524018146467918</v>
      </c>
      <c r="AJ23" s="25"/>
      <c r="AK23" s="13" t="s">
        <v>21</v>
      </c>
      <c r="AL23" s="28">
        <f t="shared" si="19"/>
        <v>0.032285699999999994</v>
      </c>
      <c r="AM23" s="30">
        <f t="shared" si="20"/>
        <v>0.04184838902147972</v>
      </c>
      <c r="AN23" s="30">
        <f t="shared" si="21"/>
        <v>0.03954078602620087</v>
      </c>
      <c r="AO23" s="30" t="str">
        <f t="shared" si="22"/>
        <v>ND</v>
      </c>
      <c r="AP23" s="30" t="str">
        <f t="shared" si="23"/>
        <v>ND</v>
      </c>
      <c r="AQ23" s="30" t="str">
        <f t="shared" si="24"/>
        <v>ND</v>
      </c>
      <c r="AR23" s="30">
        <f t="shared" si="25"/>
        <v>0.07014587112171838</v>
      </c>
      <c r="AS23" s="30">
        <f t="shared" si="26"/>
        <v>0.03286732272069464</v>
      </c>
      <c r="AT23" s="30" t="str">
        <f t="shared" si="27"/>
        <v>ND</v>
      </c>
      <c r="AU23" s="30">
        <f t="shared" si="28"/>
        <v>0.0511533035215204</v>
      </c>
      <c r="AV23" s="30">
        <f t="shared" si="29"/>
        <v>0.05210943455497383</v>
      </c>
      <c r="AW23" s="30" t="str">
        <f t="shared" si="30"/>
        <v>ND</v>
      </c>
      <c r="AX23" s="30">
        <f t="shared" si="31"/>
        <v>0.003935081001472754</v>
      </c>
      <c r="AY23" s="30" t="str">
        <f t="shared" si="32"/>
        <v>ND</v>
      </c>
      <c r="AZ23" s="30">
        <f t="shared" si="33"/>
        <v>0.012395917390002991</v>
      </c>
      <c r="BA23" s="30">
        <f t="shared" si="34"/>
        <v>0.008571616331821127</v>
      </c>
      <c r="BB23" s="30"/>
      <c r="BC23" s="35" t="s">
        <v>21</v>
      </c>
      <c r="BD23" s="28">
        <f t="shared" si="35"/>
        <v>7.4542857</v>
      </c>
      <c r="BE23" s="30">
        <f t="shared" si="36"/>
        <v>6.976724284009546</v>
      </c>
      <c r="BF23" s="30">
        <f t="shared" si="37"/>
        <v>2.8916630567685586</v>
      </c>
      <c r="BG23" s="30">
        <f t="shared" si="38"/>
        <v>0.7702524023062142</v>
      </c>
      <c r="BH23" s="30">
        <f t="shared" si="39"/>
        <v>0</v>
      </c>
      <c r="BI23" s="30">
        <f t="shared" si="40"/>
        <v>0</v>
      </c>
      <c r="BJ23" s="30">
        <f t="shared" si="41"/>
        <v>0.07014587112171838</v>
      </c>
      <c r="BK23" s="30">
        <f t="shared" si="42"/>
        <v>0.03286732272069464</v>
      </c>
      <c r="BL23" s="30">
        <f t="shared" si="43"/>
        <v>0</v>
      </c>
      <c r="BM23" s="30">
        <f t="shared" si="44"/>
        <v>0.0511533035215204</v>
      </c>
      <c r="BN23" s="30">
        <f t="shared" si="45"/>
        <v>11.173451842931936</v>
      </c>
      <c r="BO23" s="30">
        <f t="shared" si="46"/>
        <v>1.8203246445497627</v>
      </c>
      <c r="BP23" s="30">
        <f t="shared" si="47"/>
        <v>5.276943622974963</v>
      </c>
      <c r="BQ23" s="30">
        <f t="shared" si="48"/>
        <v>1.9339611428571424</v>
      </c>
      <c r="BR23" s="30">
        <f t="shared" si="49"/>
        <v>0.012395917390002991</v>
      </c>
      <c r="BS23" s="30">
        <f t="shared" si="50"/>
        <v>1.324617760207388</v>
      </c>
      <c r="BT23" s="25"/>
      <c r="BU23" s="11">
        <f t="shared" si="51"/>
        <v>0.03448534216898848</v>
      </c>
      <c r="BV23" s="4">
        <f t="shared" si="52"/>
        <v>2.486799179459965</v>
      </c>
      <c r="BX23" s="4">
        <f t="shared" si="53"/>
        <v>4.382659272185506</v>
      </c>
    </row>
    <row r="24" spans="1:76" ht="15">
      <c r="A24" s="13" t="s">
        <v>22</v>
      </c>
      <c r="B24" s="18"/>
      <c r="C24" s="25"/>
      <c r="D24" s="25"/>
      <c r="E24" s="25"/>
      <c r="F24" s="25"/>
      <c r="G24" s="23">
        <v>8.7</v>
      </c>
      <c r="H24" s="23">
        <v>3.5</v>
      </c>
      <c r="I24" s="25"/>
      <c r="J24" s="23">
        <v>10.8</v>
      </c>
      <c r="K24" s="25"/>
      <c r="L24" s="23">
        <v>4.1</v>
      </c>
      <c r="M24" s="23">
        <v>0.2</v>
      </c>
      <c r="N24" s="25"/>
      <c r="O24" s="25"/>
      <c r="P24" s="25"/>
      <c r="Q24" s="23">
        <v>0.93</v>
      </c>
      <c r="R24" s="25"/>
      <c r="S24" s="17">
        <v>0</v>
      </c>
      <c r="T24" s="28" t="str">
        <f t="shared" si="3"/>
        <v>ND</v>
      </c>
      <c r="U24" s="30" t="str">
        <f t="shared" si="4"/>
        <v>ND</v>
      </c>
      <c r="V24" s="30" t="str">
        <f t="shared" si="5"/>
        <v>ND</v>
      </c>
      <c r="W24" s="30" t="str">
        <f t="shared" si="6"/>
        <v>ND</v>
      </c>
      <c r="X24" s="30" t="str">
        <f t="shared" si="7"/>
        <v>ND</v>
      </c>
      <c r="Y24" s="30">
        <f t="shared" si="8"/>
        <v>0.11037846153846152</v>
      </c>
      <c r="Z24" s="30">
        <f t="shared" si="9"/>
        <v>0.015499403341288782</v>
      </c>
      <c r="AA24" s="30" t="str">
        <f t="shared" si="10"/>
        <v>ND</v>
      </c>
      <c r="AB24" s="30">
        <f t="shared" si="11"/>
        <v>0.047783964232488825</v>
      </c>
      <c r="AC24" s="30" t="str">
        <f t="shared" si="12"/>
        <v>ND</v>
      </c>
      <c r="AD24" s="30">
        <f t="shared" si="13"/>
        <v>0.015932041884816752</v>
      </c>
      <c r="AE24" s="30">
        <f t="shared" si="14"/>
        <v>0.0008793838862559241</v>
      </c>
      <c r="AF24" s="30" t="str">
        <f t="shared" si="15"/>
        <v>ND</v>
      </c>
      <c r="AG24" s="30" t="str">
        <f t="shared" si="16"/>
        <v>ND</v>
      </c>
      <c r="AH24" s="30" t="str">
        <f t="shared" si="17"/>
        <v>ND</v>
      </c>
      <c r="AI24" s="30">
        <f t="shared" si="18"/>
        <v>0.0044734024627349316</v>
      </c>
      <c r="AJ24" s="25"/>
      <c r="AK24" s="13" t="s">
        <v>22</v>
      </c>
      <c r="AL24" s="28" t="str">
        <f t="shared" si="19"/>
        <v>ND</v>
      </c>
      <c r="AM24" s="30" t="str">
        <f t="shared" si="20"/>
        <v>ND</v>
      </c>
      <c r="AN24" s="30" t="str">
        <f t="shared" si="21"/>
        <v>ND</v>
      </c>
      <c r="AO24" s="30" t="str">
        <f t="shared" si="22"/>
        <v>ND</v>
      </c>
      <c r="AP24" s="30" t="str">
        <f t="shared" si="23"/>
        <v>ND</v>
      </c>
      <c r="AQ24" s="30">
        <f t="shared" si="24"/>
        <v>0.09934061538461537</v>
      </c>
      <c r="AR24" s="30">
        <f t="shared" si="25"/>
        <v>0.013949463007159905</v>
      </c>
      <c r="AS24" s="30" t="str">
        <f t="shared" si="26"/>
        <v>ND</v>
      </c>
      <c r="AT24" s="30">
        <f t="shared" si="27"/>
        <v>0.04300556780923994</v>
      </c>
      <c r="AU24" s="30" t="str">
        <f t="shared" si="28"/>
        <v>ND</v>
      </c>
      <c r="AV24" s="30">
        <f t="shared" si="29"/>
        <v>0.014338837696335078</v>
      </c>
      <c r="AW24" s="30">
        <f t="shared" si="30"/>
        <v>0.0007914454976303317</v>
      </c>
      <c r="AX24" s="30" t="str">
        <f t="shared" si="31"/>
        <v>ND</v>
      </c>
      <c r="AY24" s="30" t="str">
        <f t="shared" si="32"/>
        <v>ND</v>
      </c>
      <c r="AZ24" s="30" t="str">
        <f t="shared" si="33"/>
        <v>ND</v>
      </c>
      <c r="BA24" s="30">
        <f t="shared" si="34"/>
        <v>0.004026062216461439</v>
      </c>
      <c r="BB24" s="30"/>
      <c r="BC24" s="35" t="s">
        <v>22</v>
      </c>
      <c r="BD24" s="28">
        <f t="shared" si="35"/>
        <v>1.03908</v>
      </c>
      <c r="BE24" s="30">
        <f t="shared" si="36"/>
        <v>1.913069212410501</v>
      </c>
      <c r="BF24" s="30">
        <f t="shared" si="37"/>
        <v>0</v>
      </c>
      <c r="BG24" s="30">
        <f t="shared" si="38"/>
        <v>0.256750800768738</v>
      </c>
      <c r="BH24" s="30">
        <f t="shared" si="39"/>
        <v>0.25278334910122985</v>
      </c>
      <c r="BI24" s="30">
        <f t="shared" si="40"/>
        <v>0.09934061538461537</v>
      </c>
      <c r="BJ24" s="30">
        <f t="shared" si="41"/>
        <v>0.013949463007159905</v>
      </c>
      <c r="BK24" s="30">
        <f t="shared" si="42"/>
        <v>0.1288914616497829</v>
      </c>
      <c r="BL24" s="30">
        <f t="shared" si="43"/>
        <v>0.04300556780923994</v>
      </c>
      <c r="BM24" s="30">
        <f t="shared" si="44"/>
        <v>0</v>
      </c>
      <c r="BN24" s="30">
        <f t="shared" si="45"/>
        <v>3.1618885759162305</v>
      </c>
      <c r="BO24" s="30">
        <f t="shared" si="46"/>
        <v>0.317369644549763</v>
      </c>
      <c r="BP24" s="30">
        <f t="shared" si="47"/>
        <v>0.9050686303387333</v>
      </c>
      <c r="BQ24" s="30">
        <f t="shared" si="48"/>
        <v>0.5598308571428572</v>
      </c>
      <c r="BR24" s="30">
        <f t="shared" si="49"/>
        <v>0</v>
      </c>
      <c r="BS24" s="30">
        <f t="shared" si="50"/>
        <v>0.004026062216461439</v>
      </c>
      <c r="BT24" s="25"/>
      <c r="BU24" s="11">
        <f t="shared" si="51"/>
        <v>0.029241998601907005</v>
      </c>
      <c r="BV24" s="4">
        <f t="shared" si="52"/>
        <v>0.5434408900184571</v>
      </c>
      <c r="BX24" s="4">
        <f t="shared" si="53"/>
        <v>0.9466224720759856</v>
      </c>
    </row>
    <row r="25" spans="1:76" ht="15">
      <c r="A25" s="13" t="s">
        <v>23</v>
      </c>
      <c r="B25" s="1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7">
        <v>0</v>
      </c>
      <c r="T25" s="28" t="str">
        <f t="shared" si="3"/>
        <v>ND</v>
      </c>
      <c r="U25" s="30" t="str">
        <f t="shared" si="4"/>
        <v>ND</v>
      </c>
      <c r="V25" s="30" t="str">
        <f t="shared" si="5"/>
        <v>ND</v>
      </c>
      <c r="W25" s="30" t="str">
        <f t="shared" si="6"/>
        <v>ND</v>
      </c>
      <c r="X25" s="30" t="str">
        <f t="shared" si="7"/>
        <v>ND</v>
      </c>
      <c r="Y25" s="30" t="str">
        <f t="shared" si="8"/>
        <v>ND</v>
      </c>
      <c r="Z25" s="30" t="str">
        <f t="shared" si="9"/>
        <v>ND</v>
      </c>
      <c r="AA25" s="30" t="str">
        <f t="shared" si="10"/>
        <v>ND</v>
      </c>
      <c r="AB25" s="30" t="str">
        <f t="shared" si="11"/>
        <v>ND</v>
      </c>
      <c r="AC25" s="30" t="str">
        <f t="shared" si="12"/>
        <v>ND</v>
      </c>
      <c r="AD25" s="30" t="str">
        <f t="shared" si="13"/>
        <v>ND</v>
      </c>
      <c r="AE25" s="30" t="str">
        <f t="shared" si="14"/>
        <v>ND</v>
      </c>
      <c r="AF25" s="30" t="str">
        <f t="shared" si="15"/>
        <v>ND</v>
      </c>
      <c r="AG25" s="30" t="str">
        <f t="shared" si="16"/>
        <v>ND</v>
      </c>
      <c r="AH25" s="30" t="str">
        <f t="shared" si="17"/>
        <v>ND</v>
      </c>
      <c r="AI25" s="30" t="str">
        <f t="shared" si="18"/>
        <v>ND</v>
      </c>
      <c r="AJ25" s="25"/>
      <c r="AK25" s="13" t="s">
        <v>23</v>
      </c>
      <c r="AL25" s="28" t="str">
        <f t="shared" si="19"/>
        <v>ND</v>
      </c>
      <c r="AM25" s="30" t="str">
        <f t="shared" si="20"/>
        <v>ND</v>
      </c>
      <c r="AN25" s="30" t="str">
        <f t="shared" si="21"/>
        <v>ND</v>
      </c>
      <c r="AO25" s="30" t="str">
        <f t="shared" si="22"/>
        <v>ND</v>
      </c>
      <c r="AP25" s="30" t="str">
        <f t="shared" si="23"/>
        <v>ND</v>
      </c>
      <c r="AQ25" s="30" t="str">
        <f t="shared" si="24"/>
        <v>ND</v>
      </c>
      <c r="AR25" s="30" t="str">
        <f t="shared" si="25"/>
        <v>ND</v>
      </c>
      <c r="AS25" s="30" t="str">
        <f t="shared" si="26"/>
        <v>ND</v>
      </c>
      <c r="AT25" s="30" t="str">
        <f t="shared" si="27"/>
        <v>ND</v>
      </c>
      <c r="AU25" s="30" t="str">
        <f t="shared" si="28"/>
        <v>ND</v>
      </c>
      <c r="AV25" s="30" t="str">
        <f t="shared" si="29"/>
        <v>ND</v>
      </c>
      <c r="AW25" s="30" t="str">
        <f t="shared" si="30"/>
        <v>ND</v>
      </c>
      <c r="AX25" s="30" t="str">
        <f t="shared" si="31"/>
        <v>ND</v>
      </c>
      <c r="AY25" s="30" t="str">
        <f t="shared" si="32"/>
        <v>ND</v>
      </c>
      <c r="AZ25" s="30" t="str">
        <f t="shared" si="33"/>
        <v>ND</v>
      </c>
      <c r="BA25" s="30" t="str">
        <f t="shared" si="34"/>
        <v>ND</v>
      </c>
      <c r="BB25" s="30"/>
      <c r="BC25" s="35" t="s">
        <v>23</v>
      </c>
      <c r="BD25" s="28">
        <f t="shared" si="35"/>
        <v>0</v>
      </c>
      <c r="BE25" s="30">
        <f t="shared" si="36"/>
        <v>0</v>
      </c>
      <c r="BF25" s="30">
        <f t="shared" si="37"/>
        <v>0</v>
      </c>
      <c r="BG25" s="30">
        <f t="shared" si="38"/>
        <v>0</v>
      </c>
      <c r="BH25" s="30">
        <f t="shared" si="39"/>
        <v>0</v>
      </c>
      <c r="BI25" s="30">
        <f t="shared" si="40"/>
        <v>0</v>
      </c>
      <c r="BJ25" s="30">
        <f t="shared" si="41"/>
        <v>0</v>
      </c>
      <c r="BK25" s="30">
        <f t="shared" si="42"/>
        <v>0</v>
      </c>
      <c r="BL25" s="30">
        <f t="shared" si="43"/>
        <v>0</v>
      </c>
      <c r="BM25" s="30">
        <f t="shared" si="44"/>
        <v>0</v>
      </c>
      <c r="BN25" s="30">
        <f t="shared" si="45"/>
        <v>0</v>
      </c>
      <c r="BO25" s="30">
        <f t="shared" si="46"/>
        <v>0</v>
      </c>
      <c r="BP25" s="30">
        <f t="shared" si="47"/>
        <v>0</v>
      </c>
      <c r="BQ25" s="30">
        <f t="shared" si="48"/>
        <v>0</v>
      </c>
      <c r="BR25" s="30">
        <f t="shared" si="49"/>
        <v>0</v>
      </c>
      <c r="BS25" s="30">
        <f t="shared" si="50"/>
        <v>0</v>
      </c>
      <c r="BT25" s="25"/>
      <c r="BU25" s="11" t="e">
        <f t="shared" si="51"/>
        <v>#DIV/0!</v>
      </c>
      <c r="BV25" s="4">
        <f t="shared" si="52"/>
        <v>0</v>
      </c>
      <c r="BX25" s="4" t="e">
        <f t="shared" si="53"/>
        <v>#DIV/0!</v>
      </c>
    </row>
    <row r="26" spans="1:76" ht="15">
      <c r="A26" s="13" t="s">
        <v>24</v>
      </c>
      <c r="B26" s="18"/>
      <c r="C26" s="25"/>
      <c r="D26" s="25"/>
      <c r="E26" s="25"/>
      <c r="F26" s="25"/>
      <c r="G26" s="25"/>
      <c r="H26" s="23">
        <v>2.2</v>
      </c>
      <c r="I26" s="25"/>
      <c r="J26" s="25"/>
      <c r="K26" s="25"/>
      <c r="L26" s="23">
        <v>1.9</v>
      </c>
      <c r="M26" s="25"/>
      <c r="N26" s="25"/>
      <c r="O26" s="25"/>
      <c r="P26" s="25"/>
      <c r="Q26" s="23">
        <v>0.5</v>
      </c>
      <c r="R26" s="25"/>
      <c r="S26" s="17">
        <v>0</v>
      </c>
      <c r="T26" s="28" t="str">
        <f t="shared" si="3"/>
        <v>ND</v>
      </c>
      <c r="U26" s="30" t="str">
        <f t="shared" si="4"/>
        <v>ND</v>
      </c>
      <c r="V26" s="30" t="str">
        <f t="shared" si="5"/>
        <v>ND</v>
      </c>
      <c r="W26" s="30" t="str">
        <f t="shared" si="6"/>
        <v>ND</v>
      </c>
      <c r="X26" s="30" t="str">
        <f t="shared" si="7"/>
        <v>ND</v>
      </c>
      <c r="Y26" s="30" t="str">
        <f t="shared" si="8"/>
        <v>ND</v>
      </c>
      <c r="Z26" s="30">
        <f t="shared" si="9"/>
        <v>0.009742482100238665</v>
      </c>
      <c r="AA26" s="30" t="str">
        <f t="shared" si="10"/>
        <v>ND</v>
      </c>
      <c r="AB26" s="30" t="str">
        <f t="shared" si="11"/>
        <v>ND</v>
      </c>
      <c r="AC26" s="30" t="str">
        <f t="shared" si="12"/>
        <v>ND</v>
      </c>
      <c r="AD26" s="30">
        <f t="shared" si="13"/>
        <v>0.007383141361256545</v>
      </c>
      <c r="AE26" s="30" t="str">
        <f t="shared" si="14"/>
        <v>ND</v>
      </c>
      <c r="AF26" s="30" t="str">
        <f t="shared" si="15"/>
        <v>ND</v>
      </c>
      <c r="AG26" s="30" t="str">
        <f t="shared" si="16"/>
        <v>ND</v>
      </c>
      <c r="AH26" s="30" t="str">
        <f t="shared" si="17"/>
        <v>ND</v>
      </c>
      <c r="AI26" s="30">
        <f t="shared" si="18"/>
        <v>0.002405055087491899</v>
      </c>
      <c r="AJ26" s="25"/>
      <c r="AK26" s="13" t="s">
        <v>24</v>
      </c>
      <c r="AL26" s="28" t="str">
        <f t="shared" si="19"/>
        <v>ND</v>
      </c>
      <c r="AM26" s="30" t="str">
        <f t="shared" si="20"/>
        <v>ND</v>
      </c>
      <c r="AN26" s="30" t="str">
        <f t="shared" si="21"/>
        <v>ND</v>
      </c>
      <c r="AO26" s="30" t="str">
        <f t="shared" si="22"/>
        <v>ND</v>
      </c>
      <c r="AP26" s="30" t="str">
        <f t="shared" si="23"/>
        <v>ND</v>
      </c>
      <c r="AQ26" s="30" t="str">
        <f t="shared" si="24"/>
        <v>ND</v>
      </c>
      <c r="AR26" s="30">
        <f t="shared" si="25"/>
        <v>0.008768233890214798</v>
      </c>
      <c r="AS26" s="30" t="str">
        <f t="shared" si="26"/>
        <v>ND</v>
      </c>
      <c r="AT26" s="30" t="str">
        <f t="shared" si="27"/>
        <v>ND</v>
      </c>
      <c r="AU26" s="30" t="str">
        <f t="shared" si="28"/>
        <v>ND</v>
      </c>
      <c r="AV26" s="30">
        <f t="shared" si="29"/>
        <v>0.00664482722513089</v>
      </c>
      <c r="AW26" s="30" t="str">
        <f t="shared" si="30"/>
        <v>ND</v>
      </c>
      <c r="AX26" s="30" t="str">
        <f t="shared" si="31"/>
        <v>ND</v>
      </c>
      <c r="AY26" s="30" t="str">
        <f t="shared" si="32"/>
        <v>ND</v>
      </c>
      <c r="AZ26" s="30" t="str">
        <f t="shared" si="33"/>
        <v>ND</v>
      </c>
      <c r="BA26" s="30">
        <f t="shared" si="34"/>
        <v>0.002164549578742709</v>
      </c>
      <c r="BB26" s="30"/>
      <c r="BC26" s="35" t="s">
        <v>24</v>
      </c>
      <c r="BD26" s="28">
        <f t="shared" si="35"/>
        <v>0</v>
      </c>
      <c r="BE26" s="30">
        <f t="shared" si="36"/>
        <v>0</v>
      </c>
      <c r="BF26" s="30">
        <f t="shared" si="37"/>
        <v>0</v>
      </c>
      <c r="BG26" s="30">
        <f t="shared" si="38"/>
        <v>0</v>
      </c>
      <c r="BH26" s="30">
        <f t="shared" si="39"/>
        <v>0</v>
      </c>
      <c r="BI26" s="30">
        <f t="shared" si="40"/>
        <v>0</v>
      </c>
      <c r="BJ26" s="30">
        <f t="shared" si="41"/>
        <v>0.008768233890214798</v>
      </c>
      <c r="BK26" s="30">
        <f t="shared" si="42"/>
        <v>0</v>
      </c>
      <c r="BL26" s="30">
        <f t="shared" si="43"/>
        <v>0</v>
      </c>
      <c r="BM26" s="30">
        <f t="shared" si="44"/>
        <v>0</v>
      </c>
      <c r="BN26" s="30">
        <f t="shared" si="45"/>
        <v>2.454739068062827</v>
      </c>
      <c r="BO26" s="30">
        <f t="shared" si="46"/>
        <v>0</v>
      </c>
      <c r="BP26" s="30">
        <f t="shared" si="47"/>
        <v>0.6138726362297496</v>
      </c>
      <c r="BQ26" s="30">
        <f t="shared" si="48"/>
        <v>0.29688000000000003</v>
      </c>
      <c r="BR26" s="30">
        <f t="shared" si="49"/>
        <v>0</v>
      </c>
      <c r="BS26" s="30">
        <f t="shared" si="50"/>
        <v>0.002164549578742709</v>
      </c>
      <c r="BT26" s="25"/>
      <c r="BU26" s="11">
        <f t="shared" si="51"/>
        <v>0.005859203564696133</v>
      </c>
      <c r="BV26" s="4">
        <f t="shared" si="52"/>
        <v>0.21102653048509587</v>
      </c>
      <c r="BX26" s="4">
        <f t="shared" si="53"/>
        <v>1.1196156256891487</v>
      </c>
    </row>
    <row r="27" spans="1:76" ht="15">
      <c r="A27" s="13" t="s">
        <v>25</v>
      </c>
      <c r="B27" s="1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7">
        <v>0</v>
      </c>
      <c r="T27" s="28" t="str">
        <f t="shared" si="3"/>
        <v>ND</v>
      </c>
      <c r="U27" s="30" t="str">
        <f t="shared" si="4"/>
        <v>ND</v>
      </c>
      <c r="V27" s="30" t="str">
        <f t="shared" si="5"/>
        <v>ND</v>
      </c>
      <c r="W27" s="30" t="str">
        <f t="shared" si="6"/>
        <v>ND</v>
      </c>
      <c r="X27" s="30" t="str">
        <f t="shared" si="7"/>
        <v>ND</v>
      </c>
      <c r="Y27" s="30" t="str">
        <f t="shared" si="8"/>
        <v>ND</v>
      </c>
      <c r="Z27" s="30" t="str">
        <f t="shared" si="9"/>
        <v>ND</v>
      </c>
      <c r="AA27" s="30" t="str">
        <f t="shared" si="10"/>
        <v>ND</v>
      </c>
      <c r="AB27" s="30" t="str">
        <f t="shared" si="11"/>
        <v>ND</v>
      </c>
      <c r="AC27" s="30" t="str">
        <f t="shared" si="12"/>
        <v>ND</v>
      </c>
      <c r="AD27" s="30" t="str">
        <f t="shared" si="13"/>
        <v>ND</v>
      </c>
      <c r="AE27" s="30" t="str">
        <f t="shared" si="14"/>
        <v>ND</v>
      </c>
      <c r="AF27" s="30" t="str">
        <f t="shared" si="15"/>
        <v>ND</v>
      </c>
      <c r="AG27" s="30" t="str">
        <f t="shared" si="16"/>
        <v>ND</v>
      </c>
      <c r="AH27" s="30" t="str">
        <f t="shared" si="17"/>
        <v>ND</v>
      </c>
      <c r="AI27" s="30" t="str">
        <f t="shared" si="18"/>
        <v>ND</v>
      </c>
      <c r="AJ27" s="25"/>
      <c r="AK27" s="13" t="s">
        <v>25</v>
      </c>
      <c r="AL27" s="28" t="str">
        <f t="shared" si="19"/>
        <v>ND</v>
      </c>
      <c r="AM27" s="30" t="str">
        <f t="shared" si="20"/>
        <v>ND</v>
      </c>
      <c r="AN27" s="30" t="str">
        <f t="shared" si="21"/>
        <v>ND</v>
      </c>
      <c r="AO27" s="30" t="str">
        <f t="shared" si="22"/>
        <v>ND</v>
      </c>
      <c r="AP27" s="30" t="str">
        <f t="shared" si="23"/>
        <v>ND</v>
      </c>
      <c r="AQ27" s="30" t="str">
        <f t="shared" si="24"/>
        <v>ND</v>
      </c>
      <c r="AR27" s="30" t="str">
        <f t="shared" si="25"/>
        <v>ND</v>
      </c>
      <c r="AS27" s="30" t="str">
        <f t="shared" si="26"/>
        <v>ND</v>
      </c>
      <c r="AT27" s="30" t="str">
        <f t="shared" si="27"/>
        <v>ND</v>
      </c>
      <c r="AU27" s="30" t="str">
        <f t="shared" si="28"/>
        <v>ND</v>
      </c>
      <c r="AV27" s="30" t="str">
        <f t="shared" si="29"/>
        <v>ND</v>
      </c>
      <c r="AW27" s="30" t="str">
        <f t="shared" si="30"/>
        <v>ND</v>
      </c>
      <c r="AX27" s="30" t="str">
        <f t="shared" si="31"/>
        <v>ND</v>
      </c>
      <c r="AY27" s="30" t="str">
        <f t="shared" si="32"/>
        <v>ND</v>
      </c>
      <c r="AZ27" s="30" t="str">
        <f t="shared" si="33"/>
        <v>ND</v>
      </c>
      <c r="BA27" s="30" t="str">
        <f t="shared" si="34"/>
        <v>ND</v>
      </c>
      <c r="BB27" s="30"/>
      <c r="BC27" s="35" t="s">
        <v>25</v>
      </c>
      <c r="BD27" s="28">
        <f t="shared" si="35"/>
        <v>0</v>
      </c>
      <c r="BE27" s="30">
        <f t="shared" si="36"/>
        <v>0</v>
      </c>
      <c r="BF27" s="30">
        <f t="shared" si="37"/>
        <v>0</v>
      </c>
      <c r="BG27" s="30">
        <f t="shared" si="38"/>
        <v>0</v>
      </c>
      <c r="BH27" s="30">
        <f t="shared" si="39"/>
        <v>0</v>
      </c>
      <c r="BI27" s="30">
        <f t="shared" si="40"/>
        <v>0</v>
      </c>
      <c r="BJ27" s="30">
        <f t="shared" si="41"/>
        <v>0</v>
      </c>
      <c r="BK27" s="30">
        <f t="shared" si="42"/>
        <v>0</v>
      </c>
      <c r="BL27" s="30">
        <f t="shared" si="43"/>
        <v>0</v>
      </c>
      <c r="BM27" s="30">
        <f t="shared" si="44"/>
        <v>0</v>
      </c>
      <c r="BN27" s="30">
        <f t="shared" si="45"/>
        <v>0</v>
      </c>
      <c r="BO27" s="30">
        <f t="shared" si="46"/>
        <v>0</v>
      </c>
      <c r="BP27" s="30">
        <f t="shared" si="47"/>
        <v>0</v>
      </c>
      <c r="BQ27" s="30">
        <f t="shared" si="48"/>
        <v>0</v>
      </c>
      <c r="BR27" s="30">
        <f t="shared" si="49"/>
        <v>0</v>
      </c>
      <c r="BS27" s="30">
        <f t="shared" si="50"/>
        <v>0</v>
      </c>
      <c r="BT27" s="25"/>
      <c r="BU27" s="11" t="e">
        <f t="shared" si="51"/>
        <v>#DIV/0!</v>
      </c>
      <c r="BV27" s="4">
        <f t="shared" si="52"/>
        <v>0</v>
      </c>
      <c r="BX27" s="4" t="e">
        <f t="shared" si="53"/>
        <v>#DIV/0!</v>
      </c>
    </row>
    <row r="28" spans="1:76" ht="15">
      <c r="A28" s="13" t="s">
        <v>26</v>
      </c>
      <c r="B28" s="17">
        <v>1.3</v>
      </c>
      <c r="C28" s="23">
        <f>1.7+2</f>
        <v>3.7</v>
      </c>
      <c r="D28" s="23">
        <f>0.9+1.1</f>
        <v>2</v>
      </c>
      <c r="E28" s="23">
        <v>0.5</v>
      </c>
      <c r="F28" s="25"/>
      <c r="G28" s="23">
        <v>2.9</v>
      </c>
      <c r="H28" s="23">
        <v>5.5</v>
      </c>
      <c r="I28" s="23">
        <v>0.4</v>
      </c>
      <c r="J28" s="23">
        <v>1.8</v>
      </c>
      <c r="K28" s="25"/>
      <c r="L28" s="23">
        <v>7.2</v>
      </c>
      <c r="M28" s="23">
        <v>0.4</v>
      </c>
      <c r="N28" s="23">
        <v>1.11</v>
      </c>
      <c r="O28" s="23">
        <v>1.07</v>
      </c>
      <c r="P28" s="23">
        <f>0.94+1.18</f>
        <v>2.12</v>
      </c>
      <c r="Q28" s="25"/>
      <c r="R28" s="25"/>
      <c r="S28" s="17">
        <v>1.5</v>
      </c>
      <c r="T28" s="28" t="str">
        <f t="shared" si="3"/>
        <v>ND</v>
      </c>
      <c r="U28" s="30">
        <f t="shared" si="4"/>
        <v>0.009742482100238665</v>
      </c>
      <c r="V28" s="30">
        <f t="shared" si="5"/>
        <v>0.003601164483260553</v>
      </c>
      <c r="W28" s="30" t="str">
        <f t="shared" si="6"/>
        <v>ND</v>
      </c>
      <c r="X28" s="30" t="str">
        <f t="shared" si="7"/>
        <v>ND</v>
      </c>
      <c r="Y28" s="30">
        <f t="shared" si="8"/>
        <v>0.017762051282051283</v>
      </c>
      <c r="Z28" s="30">
        <f t="shared" si="9"/>
        <v>0.017713603818615753</v>
      </c>
      <c r="AA28" s="30" t="str">
        <f t="shared" si="10"/>
        <v>ND</v>
      </c>
      <c r="AB28" s="30">
        <f t="shared" si="11"/>
        <v>0.0013273323397913564</v>
      </c>
      <c r="AC28" s="30" t="str">
        <f t="shared" si="12"/>
        <v>ND</v>
      </c>
      <c r="AD28" s="30">
        <f t="shared" si="13"/>
        <v>0.02214942408376963</v>
      </c>
      <c r="AE28" s="30" t="str">
        <f t="shared" si="14"/>
        <v>ND</v>
      </c>
      <c r="AF28" s="30" t="str">
        <f t="shared" si="15"/>
        <v>ND</v>
      </c>
      <c r="AG28" s="30" t="str">
        <f t="shared" si="16"/>
        <v>ND</v>
      </c>
      <c r="AH28" s="30">
        <f t="shared" si="17"/>
        <v>0.0027546483088895543</v>
      </c>
      <c r="AI28" s="30" t="str">
        <f t="shared" si="18"/>
        <v>ND</v>
      </c>
      <c r="AJ28" s="25"/>
      <c r="AK28" s="13" t="s">
        <v>26</v>
      </c>
      <c r="AL28" s="28" t="str">
        <f t="shared" si="19"/>
        <v>ND</v>
      </c>
      <c r="AM28" s="30">
        <f t="shared" si="20"/>
        <v>0.008768233890214798</v>
      </c>
      <c r="AN28" s="30">
        <f t="shared" si="21"/>
        <v>0.003241048034934498</v>
      </c>
      <c r="AO28" s="30" t="str">
        <f t="shared" si="22"/>
        <v>ND</v>
      </c>
      <c r="AP28" s="30" t="str">
        <f t="shared" si="23"/>
        <v>ND</v>
      </c>
      <c r="AQ28" s="30">
        <f t="shared" si="24"/>
        <v>0.015985846153846153</v>
      </c>
      <c r="AR28" s="30">
        <f t="shared" si="25"/>
        <v>0.015942243436754176</v>
      </c>
      <c r="AS28" s="30" t="str">
        <f t="shared" si="26"/>
        <v>ND</v>
      </c>
      <c r="AT28" s="30">
        <f t="shared" si="27"/>
        <v>0.001194599105812221</v>
      </c>
      <c r="AU28" s="30" t="str">
        <f t="shared" si="28"/>
        <v>ND</v>
      </c>
      <c r="AV28" s="30">
        <f t="shared" si="29"/>
        <v>0.01993448167539267</v>
      </c>
      <c r="AW28" s="30" t="str">
        <f t="shared" si="30"/>
        <v>ND</v>
      </c>
      <c r="AX28" s="30" t="str">
        <f t="shared" si="31"/>
        <v>ND</v>
      </c>
      <c r="AY28" s="30" t="str">
        <f t="shared" si="32"/>
        <v>ND</v>
      </c>
      <c r="AZ28" s="30">
        <f t="shared" si="33"/>
        <v>0.0024791834780005986</v>
      </c>
      <c r="BA28" s="30" t="str">
        <f t="shared" si="34"/>
        <v>ND</v>
      </c>
      <c r="BB28" s="30"/>
      <c r="BC28" s="35" t="s">
        <v>26</v>
      </c>
      <c r="BD28" s="28">
        <f t="shared" si="35"/>
        <v>1.26174</v>
      </c>
      <c r="BE28" s="30">
        <f t="shared" si="36"/>
        <v>1.523281360381862</v>
      </c>
      <c r="BF28" s="30">
        <f t="shared" si="37"/>
        <v>1.1700183406113536</v>
      </c>
      <c r="BG28" s="30">
        <f t="shared" si="38"/>
        <v>1.626088404868674</v>
      </c>
      <c r="BH28" s="30">
        <f t="shared" si="39"/>
        <v>0</v>
      </c>
      <c r="BI28" s="30">
        <f t="shared" si="40"/>
        <v>0.015985846153846153</v>
      </c>
      <c r="BJ28" s="30">
        <f t="shared" si="41"/>
        <v>0.015942243436754176</v>
      </c>
      <c r="BK28" s="30">
        <f t="shared" si="42"/>
        <v>0</v>
      </c>
      <c r="BL28" s="30">
        <f t="shared" si="43"/>
        <v>0.001194599105812221</v>
      </c>
      <c r="BM28" s="30">
        <f t="shared" si="44"/>
        <v>0</v>
      </c>
      <c r="BN28" s="30">
        <f t="shared" si="45"/>
        <v>3.517211968586387</v>
      </c>
      <c r="BO28" s="30">
        <f t="shared" si="46"/>
        <v>0</v>
      </c>
      <c r="BP28" s="30">
        <f t="shared" si="47"/>
        <v>0</v>
      </c>
      <c r="BQ28" s="30">
        <f t="shared" si="48"/>
        <v>0</v>
      </c>
      <c r="BR28" s="30">
        <f t="shared" si="49"/>
        <v>0.6102790038910503</v>
      </c>
      <c r="BS28" s="30">
        <f t="shared" si="50"/>
        <v>0</v>
      </c>
      <c r="BT28" s="25"/>
      <c r="BU28" s="11">
        <f t="shared" si="51"/>
        <v>0.009649376539279301</v>
      </c>
      <c r="BV28" s="4">
        <f t="shared" si="52"/>
        <v>0.6088588604397337</v>
      </c>
      <c r="BX28" s="4">
        <f t="shared" si="53"/>
        <v>1.6123660218767972</v>
      </c>
    </row>
    <row r="29" spans="1:76" ht="15">
      <c r="A29" s="13" t="s">
        <v>27</v>
      </c>
      <c r="B29" s="18"/>
      <c r="C29" s="25"/>
      <c r="D29" s="25"/>
      <c r="E29" s="25"/>
      <c r="F29" s="25"/>
      <c r="G29" s="25"/>
      <c r="H29" s="23">
        <v>11.3</v>
      </c>
      <c r="I29" s="25"/>
      <c r="J29" s="25"/>
      <c r="K29" s="25"/>
      <c r="L29" s="23">
        <v>14.9</v>
      </c>
      <c r="M29" s="25"/>
      <c r="N29" s="25"/>
      <c r="O29" s="25"/>
      <c r="P29" s="25"/>
      <c r="Q29" s="25"/>
      <c r="R29" s="25"/>
      <c r="S29" s="17">
        <v>0</v>
      </c>
      <c r="T29" s="28" t="str">
        <f t="shared" si="3"/>
        <v>ND</v>
      </c>
      <c r="U29" s="30" t="str">
        <f t="shared" si="4"/>
        <v>ND</v>
      </c>
      <c r="V29" s="30" t="str">
        <f t="shared" si="5"/>
        <v>ND</v>
      </c>
      <c r="W29" s="30" t="str">
        <f t="shared" si="6"/>
        <v>ND</v>
      </c>
      <c r="X29" s="30" t="str">
        <f t="shared" si="7"/>
        <v>ND</v>
      </c>
      <c r="Y29" s="30" t="str">
        <f t="shared" si="8"/>
        <v>ND</v>
      </c>
      <c r="Z29" s="30">
        <f t="shared" si="9"/>
        <v>0.050040930787589505</v>
      </c>
      <c r="AA29" s="30" t="str">
        <f t="shared" si="10"/>
        <v>ND</v>
      </c>
      <c r="AB29" s="30" t="str">
        <f t="shared" si="11"/>
        <v>ND</v>
      </c>
      <c r="AC29" s="30" t="str">
        <f t="shared" si="12"/>
        <v>ND</v>
      </c>
      <c r="AD29" s="30">
        <f t="shared" si="13"/>
        <v>0.05789937172774869</v>
      </c>
      <c r="AE29" s="30" t="str">
        <f t="shared" si="14"/>
        <v>ND</v>
      </c>
      <c r="AF29" s="30" t="str">
        <f t="shared" si="15"/>
        <v>ND</v>
      </c>
      <c r="AG29" s="30" t="str">
        <f t="shared" si="16"/>
        <v>ND</v>
      </c>
      <c r="AH29" s="30" t="str">
        <f t="shared" si="17"/>
        <v>ND</v>
      </c>
      <c r="AI29" s="30" t="str">
        <f t="shared" si="18"/>
        <v>ND</v>
      </c>
      <c r="AJ29" s="25"/>
      <c r="AK29" s="13" t="s">
        <v>27</v>
      </c>
      <c r="AL29" s="28" t="str">
        <f t="shared" si="19"/>
        <v>ND</v>
      </c>
      <c r="AM29" s="30" t="str">
        <f t="shared" si="20"/>
        <v>ND</v>
      </c>
      <c r="AN29" s="30" t="str">
        <f t="shared" si="21"/>
        <v>ND</v>
      </c>
      <c r="AO29" s="30" t="str">
        <f t="shared" si="22"/>
        <v>ND</v>
      </c>
      <c r="AP29" s="30" t="str">
        <f t="shared" si="23"/>
        <v>ND</v>
      </c>
      <c r="AQ29" s="30" t="str">
        <f t="shared" si="24"/>
        <v>ND</v>
      </c>
      <c r="AR29" s="30">
        <f t="shared" si="25"/>
        <v>0.04503683770883056</v>
      </c>
      <c r="AS29" s="30" t="str">
        <f t="shared" si="26"/>
        <v>ND</v>
      </c>
      <c r="AT29" s="30" t="str">
        <f t="shared" si="27"/>
        <v>ND</v>
      </c>
      <c r="AU29" s="30" t="str">
        <f t="shared" si="28"/>
        <v>ND</v>
      </c>
      <c r="AV29" s="30">
        <f t="shared" si="29"/>
        <v>0.05210943455497383</v>
      </c>
      <c r="AW29" s="30" t="str">
        <f t="shared" si="30"/>
        <v>ND</v>
      </c>
      <c r="AX29" s="30" t="str">
        <f t="shared" si="31"/>
        <v>ND</v>
      </c>
      <c r="AY29" s="30" t="str">
        <f t="shared" si="32"/>
        <v>ND</v>
      </c>
      <c r="AZ29" s="30" t="str">
        <f t="shared" si="33"/>
        <v>ND</v>
      </c>
      <c r="BA29" s="30" t="str">
        <f t="shared" si="34"/>
        <v>ND</v>
      </c>
      <c r="BB29" s="30"/>
      <c r="BC29" s="35" t="s">
        <v>27</v>
      </c>
      <c r="BD29" s="28">
        <f t="shared" si="35"/>
        <v>0</v>
      </c>
      <c r="BE29" s="30">
        <f t="shared" si="36"/>
        <v>0.4782673031026253</v>
      </c>
      <c r="BF29" s="30">
        <f t="shared" si="37"/>
        <v>0</v>
      </c>
      <c r="BG29" s="30">
        <f t="shared" si="38"/>
        <v>0.085583600256246</v>
      </c>
      <c r="BH29" s="30">
        <f t="shared" si="39"/>
        <v>0</v>
      </c>
      <c r="BI29" s="30">
        <f t="shared" si="40"/>
        <v>0</v>
      </c>
      <c r="BJ29" s="30">
        <f t="shared" si="41"/>
        <v>0.04503683770883056</v>
      </c>
      <c r="BK29" s="30">
        <f t="shared" si="42"/>
        <v>0</v>
      </c>
      <c r="BL29" s="30">
        <f t="shared" si="43"/>
        <v>0</v>
      </c>
      <c r="BM29" s="30">
        <f t="shared" si="44"/>
        <v>0.1493527110117384</v>
      </c>
      <c r="BN29" s="30">
        <f t="shared" si="45"/>
        <v>9.14503090052356</v>
      </c>
      <c r="BO29" s="30">
        <f t="shared" si="46"/>
        <v>0.23743364928909952</v>
      </c>
      <c r="BP29" s="30">
        <f t="shared" si="47"/>
        <v>0</v>
      </c>
      <c r="BQ29" s="30">
        <f t="shared" si="48"/>
        <v>0</v>
      </c>
      <c r="BR29" s="30">
        <f t="shared" si="49"/>
        <v>0</v>
      </c>
      <c r="BS29" s="30">
        <f t="shared" si="50"/>
        <v>0</v>
      </c>
      <c r="BT29" s="25"/>
      <c r="BU29" s="11">
        <f t="shared" si="51"/>
        <v>0.04857313613190219</v>
      </c>
      <c r="BV29" s="4">
        <f t="shared" si="52"/>
        <v>0.6337940626182562</v>
      </c>
      <c r="BX29" s="4">
        <f t="shared" si="53"/>
        <v>2.0087117459256594</v>
      </c>
    </row>
    <row r="30" spans="1:76" ht="15">
      <c r="A30" s="13" t="s">
        <v>28</v>
      </c>
      <c r="B30" s="17">
        <v>2.4</v>
      </c>
      <c r="C30" s="25"/>
      <c r="D30" s="25"/>
      <c r="E30" s="25"/>
      <c r="F30" s="25"/>
      <c r="G30" s="25"/>
      <c r="H30" s="23">
        <v>2.1</v>
      </c>
      <c r="I30" s="25"/>
      <c r="J30" s="25"/>
      <c r="K30" s="25"/>
      <c r="L30" s="23">
        <v>2</v>
      </c>
      <c r="M30" s="25"/>
      <c r="N30" s="25"/>
      <c r="O30" s="25"/>
      <c r="P30" s="25"/>
      <c r="Q30" s="25"/>
      <c r="R30" s="25"/>
      <c r="S30" s="17">
        <v>0</v>
      </c>
      <c r="T30" s="28">
        <f t="shared" si="3"/>
        <v>0.009896</v>
      </c>
      <c r="U30" s="30" t="str">
        <f t="shared" si="4"/>
        <v>ND</v>
      </c>
      <c r="V30" s="30" t="str">
        <f t="shared" si="5"/>
        <v>ND</v>
      </c>
      <c r="W30" s="30" t="str">
        <f t="shared" si="6"/>
        <v>ND</v>
      </c>
      <c r="X30" s="30" t="str">
        <f t="shared" si="7"/>
        <v>ND</v>
      </c>
      <c r="Y30" s="30" t="str">
        <f t="shared" si="8"/>
        <v>ND</v>
      </c>
      <c r="Z30" s="30">
        <f t="shared" si="9"/>
        <v>0.009299642004773269</v>
      </c>
      <c r="AA30" s="30" t="str">
        <f t="shared" si="10"/>
        <v>ND</v>
      </c>
      <c r="AB30" s="30" t="str">
        <f t="shared" si="11"/>
        <v>ND</v>
      </c>
      <c r="AC30" s="30" t="str">
        <f t="shared" si="12"/>
        <v>ND</v>
      </c>
      <c r="AD30" s="30">
        <f t="shared" si="13"/>
        <v>0.0077717277486910995</v>
      </c>
      <c r="AE30" s="30" t="str">
        <f t="shared" si="14"/>
        <v>ND</v>
      </c>
      <c r="AF30" s="30" t="str">
        <f t="shared" si="15"/>
        <v>ND</v>
      </c>
      <c r="AG30" s="30" t="str">
        <f t="shared" si="16"/>
        <v>ND</v>
      </c>
      <c r="AH30" s="30" t="str">
        <f t="shared" si="17"/>
        <v>ND</v>
      </c>
      <c r="AI30" s="30" t="str">
        <f t="shared" si="18"/>
        <v>ND</v>
      </c>
      <c r="AJ30" s="25"/>
      <c r="AK30" s="13" t="s">
        <v>28</v>
      </c>
      <c r="AL30" s="28">
        <f t="shared" si="19"/>
        <v>0.0089064</v>
      </c>
      <c r="AM30" s="30" t="str">
        <f t="shared" si="20"/>
        <v>ND</v>
      </c>
      <c r="AN30" s="30" t="str">
        <f t="shared" si="21"/>
        <v>ND</v>
      </c>
      <c r="AO30" s="30" t="str">
        <f t="shared" si="22"/>
        <v>ND</v>
      </c>
      <c r="AP30" s="30" t="str">
        <f t="shared" si="23"/>
        <v>ND</v>
      </c>
      <c r="AQ30" s="30" t="str">
        <f t="shared" si="24"/>
        <v>ND</v>
      </c>
      <c r="AR30" s="30">
        <f t="shared" si="25"/>
        <v>0.008369677804295943</v>
      </c>
      <c r="AS30" s="30" t="str">
        <f t="shared" si="26"/>
        <v>ND</v>
      </c>
      <c r="AT30" s="30" t="str">
        <f t="shared" si="27"/>
        <v>ND</v>
      </c>
      <c r="AU30" s="30" t="str">
        <f t="shared" si="28"/>
        <v>ND</v>
      </c>
      <c r="AV30" s="30">
        <f t="shared" si="29"/>
        <v>0.00699455497382199</v>
      </c>
      <c r="AW30" s="30" t="str">
        <f t="shared" si="30"/>
        <v>ND</v>
      </c>
      <c r="AX30" s="30" t="str">
        <f t="shared" si="31"/>
        <v>ND</v>
      </c>
      <c r="AY30" s="30" t="str">
        <f t="shared" si="32"/>
        <v>ND</v>
      </c>
      <c r="AZ30" s="30" t="str">
        <f t="shared" si="33"/>
        <v>ND</v>
      </c>
      <c r="BA30" s="30" t="str">
        <f t="shared" si="34"/>
        <v>ND</v>
      </c>
      <c r="BB30" s="30"/>
      <c r="BC30" s="35" t="s">
        <v>28</v>
      </c>
      <c r="BD30" s="28">
        <f t="shared" si="35"/>
        <v>3.1261464</v>
      </c>
      <c r="BE30" s="30">
        <f t="shared" si="36"/>
        <v>2.789892601431981</v>
      </c>
      <c r="BF30" s="30">
        <f t="shared" si="37"/>
        <v>1.8149868995633187</v>
      </c>
      <c r="BG30" s="30">
        <f t="shared" si="38"/>
        <v>0</v>
      </c>
      <c r="BH30" s="30">
        <f t="shared" si="39"/>
        <v>0</v>
      </c>
      <c r="BI30" s="30">
        <f t="shared" si="40"/>
        <v>0</v>
      </c>
      <c r="BJ30" s="30">
        <f t="shared" si="41"/>
        <v>2.798262279236277</v>
      </c>
      <c r="BK30" s="30">
        <f t="shared" si="42"/>
        <v>0</v>
      </c>
      <c r="BL30" s="30">
        <f t="shared" si="43"/>
        <v>0</v>
      </c>
      <c r="BM30" s="30">
        <f t="shared" si="44"/>
        <v>0.4480581330352152</v>
      </c>
      <c r="BN30" s="30">
        <f t="shared" si="45"/>
        <v>1.2660144502617803</v>
      </c>
      <c r="BO30" s="30">
        <f t="shared" si="46"/>
        <v>0.3957227488151659</v>
      </c>
      <c r="BP30" s="30">
        <f t="shared" si="47"/>
        <v>0</v>
      </c>
      <c r="BQ30" s="30">
        <f t="shared" si="48"/>
        <v>0</v>
      </c>
      <c r="BR30" s="30">
        <f t="shared" si="49"/>
        <v>0</v>
      </c>
      <c r="BS30" s="30">
        <f t="shared" si="50"/>
        <v>1.1255657809462085</v>
      </c>
      <c r="BT30" s="25"/>
      <c r="BU30" s="11">
        <f t="shared" si="51"/>
        <v>0.00809021092603931</v>
      </c>
      <c r="BV30" s="4">
        <f t="shared" si="52"/>
        <v>0.8602905808306217</v>
      </c>
      <c r="BX30" s="4">
        <f t="shared" si="53"/>
        <v>1.7175473325639785</v>
      </c>
    </row>
    <row r="31" spans="1:76" ht="15">
      <c r="A31" s="13" t="s">
        <v>29</v>
      </c>
      <c r="B31" s="17">
        <f>2.9+6</f>
        <v>8.9</v>
      </c>
      <c r="C31" s="23">
        <f>0.3+0.6</f>
        <v>0.8999999999999999</v>
      </c>
      <c r="D31" s="25"/>
      <c r="E31" s="25"/>
      <c r="F31" s="25"/>
      <c r="G31" s="23">
        <v>1.3</v>
      </c>
      <c r="H31" s="23">
        <v>0.5</v>
      </c>
      <c r="I31" s="25"/>
      <c r="J31" s="23">
        <v>1.3</v>
      </c>
      <c r="K31" s="25"/>
      <c r="L31" s="23">
        <v>0.8</v>
      </c>
      <c r="M31" s="25"/>
      <c r="N31" s="25"/>
      <c r="O31" s="25"/>
      <c r="P31" s="25"/>
      <c r="Q31" s="25"/>
      <c r="R31" s="25"/>
      <c r="S31" s="17">
        <v>0.2</v>
      </c>
      <c r="T31" s="28">
        <f t="shared" si="3"/>
        <v>0.035873</v>
      </c>
      <c r="U31" s="30">
        <f t="shared" si="4"/>
        <v>0.0030998806682577566</v>
      </c>
      <c r="V31" s="30" t="str">
        <f t="shared" si="5"/>
        <v>ND</v>
      </c>
      <c r="W31" s="30" t="str">
        <f t="shared" si="6"/>
        <v>ND</v>
      </c>
      <c r="X31" s="30" t="str">
        <f t="shared" si="7"/>
        <v>ND</v>
      </c>
      <c r="Y31" s="30">
        <f t="shared" si="8"/>
        <v>0.013955897435897436</v>
      </c>
      <c r="Z31" s="30">
        <f t="shared" si="9"/>
        <v>0.0013285202863961814</v>
      </c>
      <c r="AA31" s="30" t="str">
        <f t="shared" si="10"/>
        <v>ND</v>
      </c>
      <c r="AB31" s="30">
        <f t="shared" si="11"/>
        <v>0.00486688524590164</v>
      </c>
      <c r="AC31" s="30" t="str">
        <f t="shared" si="12"/>
        <v>ND</v>
      </c>
      <c r="AD31" s="30">
        <f t="shared" si="13"/>
        <v>0.00233151832460733</v>
      </c>
      <c r="AE31" s="30" t="str">
        <f t="shared" si="14"/>
        <v>ND</v>
      </c>
      <c r="AF31" s="30" t="str">
        <f t="shared" si="15"/>
        <v>ND</v>
      </c>
      <c r="AG31" s="30" t="str">
        <f t="shared" si="16"/>
        <v>ND</v>
      </c>
      <c r="AH31" s="30" t="str">
        <f t="shared" si="17"/>
        <v>ND</v>
      </c>
      <c r="AI31" s="30" t="str">
        <f t="shared" si="18"/>
        <v>ND</v>
      </c>
      <c r="AJ31" s="25"/>
      <c r="AK31" s="13" t="s">
        <v>29</v>
      </c>
      <c r="AL31" s="28">
        <f t="shared" si="19"/>
        <v>0.0322857</v>
      </c>
      <c r="AM31" s="30">
        <f t="shared" si="20"/>
        <v>0.002789892601431981</v>
      </c>
      <c r="AN31" s="30" t="str">
        <f t="shared" si="21"/>
        <v>ND</v>
      </c>
      <c r="AO31" s="30" t="str">
        <f t="shared" si="22"/>
        <v>ND</v>
      </c>
      <c r="AP31" s="30" t="str">
        <f t="shared" si="23"/>
        <v>ND</v>
      </c>
      <c r="AQ31" s="30">
        <f t="shared" si="24"/>
        <v>0.012560307692307694</v>
      </c>
      <c r="AR31" s="30">
        <f t="shared" si="25"/>
        <v>0.0011956682577565633</v>
      </c>
      <c r="AS31" s="30" t="str">
        <f t="shared" si="26"/>
        <v>ND</v>
      </c>
      <c r="AT31" s="30">
        <f t="shared" si="27"/>
        <v>0.004380196721311476</v>
      </c>
      <c r="AU31" s="30" t="str">
        <f t="shared" si="28"/>
        <v>ND</v>
      </c>
      <c r="AV31" s="30">
        <f t="shared" si="29"/>
        <v>0.0020983664921465973</v>
      </c>
      <c r="AW31" s="30" t="str">
        <f t="shared" si="30"/>
        <v>ND</v>
      </c>
      <c r="AX31" s="30" t="str">
        <f t="shared" si="31"/>
        <v>ND</v>
      </c>
      <c r="AY31" s="30" t="str">
        <f t="shared" si="32"/>
        <v>ND</v>
      </c>
      <c r="AZ31" s="30" t="str">
        <f t="shared" si="33"/>
        <v>ND</v>
      </c>
      <c r="BA31" s="30" t="str">
        <f t="shared" si="34"/>
        <v>ND</v>
      </c>
      <c r="BB31" s="30"/>
      <c r="BC31" s="35" t="s">
        <v>29</v>
      </c>
      <c r="BD31" s="28">
        <f t="shared" si="35"/>
        <v>0.0322857</v>
      </c>
      <c r="BE31" s="30">
        <f t="shared" si="36"/>
        <v>0.16221232696897375</v>
      </c>
      <c r="BF31" s="30">
        <f t="shared" si="37"/>
        <v>0.5185676855895196</v>
      </c>
      <c r="BG31" s="30">
        <f t="shared" si="38"/>
        <v>0</v>
      </c>
      <c r="BH31" s="30">
        <f t="shared" si="39"/>
        <v>0</v>
      </c>
      <c r="BI31" s="30">
        <f t="shared" si="40"/>
        <v>2.9813603076923076</v>
      </c>
      <c r="BJ31" s="30">
        <f t="shared" si="41"/>
        <v>0.0011956682577565633</v>
      </c>
      <c r="BK31" s="30">
        <f t="shared" si="42"/>
        <v>0</v>
      </c>
      <c r="BL31" s="30">
        <f t="shared" si="43"/>
        <v>0.004380196721311476</v>
      </c>
      <c r="BM31" s="30">
        <f t="shared" si="44"/>
        <v>0</v>
      </c>
      <c r="BN31" s="30">
        <f t="shared" si="45"/>
        <v>0.28188056544502615</v>
      </c>
      <c r="BO31" s="30">
        <f t="shared" si="46"/>
        <v>0</v>
      </c>
      <c r="BP31" s="30">
        <f t="shared" si="47"/>
        <v>0</v>
      </c>
      <c r="BQ31" s="30">
        <f t="shared" si="48"/>
        <v>0</v>
      </c>
      <c r="BR31" s="30">
        <f t="shared" si="49"/>
        <v>0</v>
      </c>
      <c r="BS31" s="30">
        <f t="shared" si="50"/>
        <v>0</v>
      </c>
      <c r="BT31" s="25"/>
      <c r="BU31" s="11">
        <f t="shared" si="51"/>
        <v>0.009218355294159054</v>
      </c>
      <c r="BV31" s="4">
        <f t="shared" si="52"/>
        <v>0.24886765316718096</v>
      </c>
      <c r="BX31" s="4">
        <f t="shared" si="53"/>
        <v>0.9816430797274852</v>
      </c>
    </row>
    <row r="32" spans="1:76" ht="15">
      <c r="A32" s="13" t="s">
        <v>30</v>
      </c>
      <c r="B32" s="18"/>
      <c r="C32" s="25"/>
      <c r="D32" s="25"/>
      <c r="E32" s="25"/>
      <c r="F32" s="25"/>
      <c r="G32" s="23">
        <v>39</v>
      </c>
      <c r="H32" s="23">
        <v>26.3</v>
      </c>
      <c r="I32" s="25"/>
      <c r="J32" s="23">
        <v>47.1</v>
      </c>
      <c r="K32" s="25"/>
      <c r="L32" s="23">
        <v>27.8</v>
      </c>
      <c r="M32" s="25"/>
      <c r="N32" s="25"/>
      <c r="O32" s="25"/>
      <c r="P32" s="25"/>
      <c r="Q32" s="25"/>
      <c r="R32" s="25"/>
      <c r="S32" s="17">
        <v>0</v>
      </c>
      <c r="T32" s="28" t="str">
        <f t="shared" si="3"/>
        <v>ND</v>
      </c>
      <c r="U32" s="30" t="str">
        <f t="shared" si="4"/>
        <v>ND</v>
      </c>
      <c r="V32" s="30" t="str">
        <f t="shared" si="5"/>
        <v>ND</v>
      </c>
      <c r="W32" s="30" t="str">
        <f t="shared" si="6"/>
        <v>ND</v>
      </c>
      <c r="X32" s="30" t="str">
        <f t="shared" si="7"/>
        <v>ND</v>
      </c>
      <c r="Y32" s="30">
        <f t="shared" si="8"/>
        <v>0.49479999999999996</v>
      </c>
      <c r="Z32" s="30">
        <f t="shared" si="9"/>
        <v>0.11646694510739858</v>
      </c>
      <c r="AA32" s="30" t="str">
        <f t="shared" si="10"/>
        <v>ND</v>
      </c>
      <c r="AB32" s="30">
        <f t="shared" si="11"/>
        <v>0.2083911773472429</v>
      </c>
      <c r="AC32" s="30" t="str">
        <f t="shared" si="12"/>
        <v>ND</v>
      </c>
      <c r="AD32" s="30">
        <f t="shared" si="13"/>
        <v>0.10802701570680628</v>
      </c>
      <c r="AE32" s="30" t="str">
        <f t="shared" si="14"/>
        <v>ND</v>
      </c>
      <c r="AF32" s="30" t="str">
        <f t="shared" si="15"/>
        <v>ND</v>
      </c>
      <c r="AG32" s="30" t="str">
        <f t="shared" si="16"/>
        <v>ND</v>
      </c>
      <c r="AH32" s="30" t="str">
        <f t="shared" si="17"/>
        <v>ND</v>
      </c>
      <c r="AI32" s="30" t="str">
        <f t="shared" si="18"/>
        <v>ND</v>
      </c>
      <c r="AJ32" s="25"/>
      <c r="AK32" s="13" t="s">
        <v>30</v>
      </c>
      <c r="AL32" s="28" t="str">
        <f t="shared" si="19"/>
        <v>ND</v>
      </c>
      <c r="AM32" s="30" t="str">
        <f t="shared" si="20"/>
        <v>ND</v>
      </c>
      <c r="AN32" s="30" t="str">
        <f t="shared" si="21"/>
        <v>ND</v>
      </c>
      <c r="AO32" s="30" t="str">
        <f t="shared" si="22"/>
        <v>ND</v>
      </c>
      <c r="AP32" s="30" t="str">
        <f t="shared" si="23"/>
        <v>ND</v>
      </c>
      <c r="AQ32" s="30">
        <f t="shared" si="24"/>
        <v>0.44532</v>
      </c>
      <c r="AR32" s="30">
        <f t="shared" si="25"/>
        <v>0.10482025059665873</v>
      </c>
      <c r="AS32" s="30" t="str">
        <f t="shared" si="26"/>
        <v>ND</v>
      </c>
      <c r="AT32" s="30">
        <f t="shared" si="27"/>
        <v>0.18755205961251864</v>
      </c>
      <c r="AU32" s="30" t="str">
        <f t="shared" si="28"/>
        <v>ND</v>
      </c>
      <c r="AV32" s="30">
        <f t="shared" si="29"/>
        <v>0.09722431413612566</v>
      </c>
      <c r="AW32" s="30" t="str">
        <f t="shared" si="30"/>
        <v>ND</v>
      </c>
      <c r="AX32" s="30" t="str">
        <f t="shared" si="31"/>
        <v>ND</v>
      </c>
      <c r="AY32" s="30" t="str">
        <f t="shared" si="32"/>
        <v>ND</v>
      </c>
      <c r="AZ32" s="30" t="str">
        <f t="shared" si="33"/>
        <v>ND</v>
      </c>
      <c r="BA32" s="30" t="str">
        <f t="shared" si="34"/>
        <v>ND</v>
      </c>
      <c r="BB32" s="30"/>
      <c r="BC32" s="35" t="s">
        <v>30</v>
      </c>
      <c r="BD32" s="28">
        <f t="shared" si="35"/>
        <v>8.9064</v>
      </c>
      <c r="BE32" s="30">
        <f t="shared" si="36"/>
        <v>6.137763723150358</v>
      </c>
      <c r="BF32" s="30">
        <f t="shared" si="37"/>
        <v>0</v>
      </c>
      <c r="BG32" s="30">
        <f t="shared" si="38"/>
        <v>0</v>
      </c>
      <c r="BH32" s="30">
        <f t="shared" si="39"/>
        <v>0</v>
      </c>
      <c r="BI32" s="30">
        <f t="shared" si="40"/>
        <v>133.58458153846155</v>
      </c>
      <c r="BJ32" s="30">
        <f t="shared" si="41"/>
        <v>0.10482025059665873</v>
      </c>
      <c r="BK32" s="30">
        <f t="shared" si="42"/>
        <v>0</v>
      </c>
      <c r="BL32" s="30">
        <f t="shared" si="43"/>
        <v>0.18755205961251864</v>
      </c>
      <c r="BM32" s="30">
        <f t="shared" si="44"/>
        <v>0</v>
      </c>
      <c r="BN32" s="30">
        <f t="shared" si="45"/>
        <v>23.738820125654446</v>
      </c>
      <c r="BO32" s="30">
        <f t="shared" si="46"/>
        <v>2.1369028436018955</v>
      </c>
      <c r="BP32" s="30">
        <f t="shared" si="47"/>
        <v>4.722097201767305</v>
      </c>
      <c r="BQ32" s="30">
        <f t="shared" si="48"/>
        <v>0</v>
      </c>
      <c r="BR32" s="30">
        <f t="shared" si="49"/>
        <v>0</v>
      </c>
      <c r="BS32" s="30">
        <f t="shared" si="50"/>
        <v>0</v>
      </c>
      <c r="BT32" s="25"/>
      <c r="BU32" s="11">
        <f t="shared" si="51"/>
        <v>0.20872915608632575</v>
      </c>
      <c r="BV32" s="4">
        <f t="shared" si="52"/>
        <v>11.219933608927795</v>
      </c>
      <c r="BX32" s="4">
        <f t="shared" si="53"/>
        <v>29.780670186416568</v>
      </c>
    </row>
    <row r="33" spans="1:76" ht="15">
      <c r="A33" s="13" t="s">
        <v>31</v>
      </c>
      <c r="B33" s="1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7">
        <v>0</v>
      </c>
      <c r="T33" s="28" t="str">
        <f t="shared" si="3"/>
        <v>ND</v>
      </c>
      <c r="U33" s="30" t="str">
        <f t="shared" si="4"/>
        <v>ND</v>
      </c>
      <c r="V33" s="30" t="str">
        <f t="shared" si="5"/>
        <v>ND</v>
      </c>
      <c r="W33" s="30" t="str">
        <f t="shared" si="6"/>
        <v>ND</v>
      </c>
      <c r="X33" s="30" t="str">
        <f t="shared" si="7"/>
        <v>ND</v>
      </c>
      <c r="Y33" s="30" t="str">
        <f t="shared" si="8"/>
        <v>ND</v>
      </c>
      <c r="Z33" s="30" t="str">
        <f t="shared" si="9"/>
        <v>ND</v>
      </c>
      <c r="AA33" s="30" t="str">
        <f t="shared" si="10"/>
        <v>ND</v>
      </c>
      <c r="AB33" s="30" t="str">
        <f t="shared" si="11"/>
        <v>ND</v>
      </c>
      <c r="AC33" s="30" t="str">
        <f t="shared" si="12"/>
        <v>ND</v>
      </c>
      <c r="AD33" s="30" t="str">
        <f t="shared" si="13"/>
        <v>ND</v>
      </c>
      <c r="AE33" s="30" t="str">
        <f t="shared" si="14"/>
        <v>ND</v>
      </c>
      <c r="AF33" s="30" t="str">
        <f t="shared" si="15"/>
        <v>ND</v>
      </c>
      <c r="AG33" s="30" t="str">
        <f t="shared" si="16"/>
        <v>ND</v>
      </c>
      <c r="AH33" s="30" t="str">
        <f t="shared" si="17"/>
        <v>ND</v>
      </c>
      <c r="AI33" s="30" t="str">
        <f t="shared" si="18"/>
        <v>ND</v>
      </c>
      <c r="AJ33" s="25"/>
      <c r="AK33" s="13" t="s">
        <v>34</v>
      </c>
      <c r="AL33" s="28" t="str">
        <f t="shared" si="19"/>
        <v>ND</v>
      </c>
      <c r="AM33" s="30" t="str">
        <f t="shared" si="20"/>
        <v>ND</v>
      </c>
      <c r="AN33" s="30" t="str">
        <f t="shared" si="21"/>
        <v>ND</v>
      </c>
      <c r="AO33" s="30" t="str">
        <f t="shared" si="22"/>
        <v>ND</v>
      </c>
      <c r="AP33" s="30" t="str">
        <f t="shared" si="23"/>
        <v>ND</v>
      </c>
      <c r="AQ33" s="30" t="str">
        <f t="shared" si="24"/>
        <v>ND</v>
      </c>
      <c r="AR33" s="30" t="str">
        <f t="shared" si="25"/>
        <v>ND</v>
      </c>
      <c r="AS33" s="30" t="str">
        <f t="shared" si="26"/>
        <v>ND</v>
      </c>
      <c r="AT33" s="30" t="str">
        <f t="shared" si="27"/>
        <v>ND</v>
      </c>
      <c r="AU33" s="30" t="str">
        <f t="shared" si="28"/>
        <v>ND</v>
      </c>
      <c r="AV33" s="30" t="str">
        <f t="shared" si="29"/>
        <v>ND</v>
      </c>
      <c r="AW33" s="30" t="str">
        <f t="shared" si="30"/>
        <v>ND</v>
      </c>
      <c r="AX33" s="30" t="str">
        <f t="shared" si="31"/>
        <v>ND</v>
      </c>
      <c r="AY33" s="30" t="str">
        <f t="shared" si="32"/>
        <v>ND</v>
      </c>
      <c r="AZ33" s="30" t="str">
        <f t="shared" si="33"/>
        <v>ND</v>
      </c>
      <c r="BA33" s="30" t="str">
        <f t="shared" si="34"/>
        <v>ND</v>
      </c>
      <c r="BB33" s="30"/>
      <c r="BC33" s="35" t="s">
        <v>34</v>
      </c>
      <c r="BD33" s="28">
        <f t="shared" si="35"/>
        <v>0</v>
      </c>
      <c r="BE33" s="30">
        <f t="shared" si="36"/>
        <v>0</v>
      </c>
      <c r="BF33" s="30">
        <f t="shared" si="37"/>
        <v>0</v>
      </c>
      <c r="BG33" s="30">
        <f t="shared" si="38"/>
        <v>0</v>
      </c>
      <c r="BH33" s="30">
        <f t="shared" si="39"/>
        <v>0</v>
      </c>
      <c r="BI33" s="30">
        <f t="shared" si="40"/>
        <v>0</v>
      </c>
      <c r="BJ33" s="30">
        <f t="shared" si="41"/>
        <v>0</v>
      </c>
      <c r="BK33" s="30">
        <f t="shared" si="42"/>
        <v>0</v>
      </c>
      <c r="BL33" s="30">
        <f t="shared" si="43"/>
        <v>0</v>
      </c>
      <c r="BM33" s="30">
        <f t="shared" si="44"/>
        <v>0</v>
      </c>
      <c r="BN33" s="30">
        <f t="shared" si="45"/>
        <v>0</v>
      </c>
      <c r="BO33" s="30">
        <f t="shared" si="46"/>
        <v>0</v>
      </c>
      <c r="BP33" s="30">
        <f t="shared" si="47"/>
        <v>0</v>
      </c>
      <c r="BQ33" s="30">
        <f t="shared" si="48"/>
        <v>0</v>
      </c>
      <c r="BR33" s="30">
        <f t="shared" si="49"/>
        <v>0</v>
      </c>
      <c r="BS33" s="30">
        <f t="shared" si="50"/>
        <v>0</v>
      </c>
      <c r="BT33" s="25"/>
      <c r="BU33" s="11" t="e">
        <f t="shared" si="51"/>
        <v>#DIV/0!</v>
      </c>
      <c r="BV33" s="4">
        <f t="shared" si="52"/>
        <v>0</v>
      </c>
      <c r="BX33" s="4" t="e">
        <f t="shared" si="53"/>
        <v>#DIV/0!</v>
      </c>
    </row>
    <row r="34" spans="1:76" ht="15.75" thickBot="1">
      <c r="A34" s="15" t="s">
        <v>32</v>
      </c>
      <c r="B34" s="19">
        <f>1.536+1.341</f>
        <v>2.877</v>
      </c>
      <c r="C34" s="26">
        <f>2.558+1.573</f>
        <v>4.131</v>
      </c>
      <c r="D34" s="26">
        <f>2.155+0.039</f>
        <v>2.194</v>
      </c>
      <c r="E34" s="26">
        <v>1.119</v>
      </c>
      <c r="F34" s="26">
        <v>0.666</v>
      </c>
      <c r="G34" s="26">
        <v>0.26</v>
      </c>
      <c r="H34" s="26">
        <v>0.316</v>
      </c>
      <c r="I34" s="26">
        <v>0.515</v>
      </c>
      <c r="J34" s="26">
        <v>0.335</v>
      </c>
      <c r="K34" s="26">
        <v>0.927</v>
      </c>
      <c r="L34" s="26">
        <v>1.376</v>
      </c>
      <c r="M34" s="26">
        <v>1.38</v>
      </c>
      <c r="N34" s="26">
        <v>1.633</v>
      </c>
      <c r="O34" s="26">
        <v>1.83</v>
      </c>
      <c r="P34" s="26">
        <f>0.147+0.672</f>
        <v>0.8190000000000001</v>
      </c>
      <c r="Q34" s="26">
        <v>0.827</v>
      </c>
      <c r="R34" s="25"/>
      <c r="S34" s="15" t="s">
        <v>32</v>
      </c>
      <c r="T34" s="19">
        <f>IF(B34=0,"ND",1000000*(1.4844*B34)/T$4)</f>
        <v>11862.83</v>
      </c>
      <c r="U34" s="26">
        <f>IF(C34=0,"ND",1000000*(1.4844*C34)/U$4)</f>
        <v>18293.724343675418</v>
      </c>
      <c r="V34" s="26">
        <f>IF(D34=0,"ND",1000000*(1.4844*D34)/V$4)</f>
        <v>15801.909752547306</v>
      </c>
      <c r="W34" s="26">
        <f>IF(E34=0,"ND",(1.4844*E34*1.65)/W$4)</f>
        <v>0.008778737796284432</v>
      </c>
      <c r="X34" s="26">
        <f aca="true" t="shared" si="54" ref="X34:AI34">IF(F34=0,"ND",(1.4844*F34*2)/X$4)</f>
        <v>0.006235322611163671</v>
      </c>
      <c r="Y34" s="26">
        <f t="shared" si="54"/>
        <v>0.0065973333333333335</v>
      </c>
      <c r="Z34" s="26">
        <f t="shared" si="54"/>
        <v>0.002798749403341289</v>
      </c>
      <c r="AA34" s="26">
        <f t="shared" si="54"/>
        <v>0.007375455861070911</v>
      </c>
      <c r="AB34" s="26">
        <f t="shared" si="54"/>
        <v>0.002964375558867362</v>
      </c>
      <c r="AC34" s="26">
        <f t="shared" si="54"/>
        <v>0.007691664617104528</v>
      </c>
      <c r="AD34" s="26">
        <f t="shared" si="54"/>
        <v>0.01069389738219895</v>
      </c>
      <c r="AE34" s="26">
        <f t="shared" si="54"/>
        <v>0.012135497630331752</v>
      </c>
      <c r="AF34" s="26">
        <f t="shared" si="54"/>
        <v>0.014279971723122238</v>
      </c>
      <c r="AG34" s="26">
        <f t="shared" si="54"/>
        <v>0.017247314285714285</v>
      </c>
      <c r="AH34" s="26">
        <f t="shared" si="54"/>
        <v>0.007277603112840467</v>
      </c>
      <c r="AI34" s="26">
        <f t="shared" si="54"/>
        <v>0.007955922229423202</v>
      </c>
      <c r="AJ34" s="25"/>
      <c r="AK34" s="15" t="s">
        <v>32</v>
      </c>
      <c r="AL34" s="31">
        <f t="shared" si="19"/>
        <v>10676.547</v>
      </c>
      <c r="AM34" s="33">
        <f t="shared" si="20"/>
        <v>16464.351909307876</v>
      </c>
      <c r="AN34" s="33">
        <f t="shared" si="21"/>
        <v>14221.718777292575</v>
      </c>
      <c r="AO34" s="33">
        <f t="shared" si="22"/>
        <v>0.00790086401665599</v>
      </c>
      <c r="AP34" s="33">
        <f t="shared" si="23"/>
        <v>0.005611790350047304</v>
      </c>
      <c r="AQ34" s="33">
        <f t="shared" si="24"/>
        <v>0.0059376</v>
      </c>
      <c r="AR34" s="33">
        <f t="shared" si="25"/>
        <v>0.00251887446300716</v>
      </c>
      <c r="AS34" s="33">
        <f t="shared" si="26"/>
        <v>0.006637910274963819</v>
      </c>
      <c r="AT34" s="33">
        <f t="shared" si="27"/>
        <v>0.002667938002980626</v>
      </c>
      <c r="AU34" s="33">
        <f t="shared" si="28"/>
        <v>0.006922498155394075</v>
      </c>
      <c r="AV34" s="33">
        <f t="shared" si="29"/>
        <v>0.009624507643979057</v>
      </c>
      <c r="AW34" s="33">
        <f t="shared" si="30"/>
        <v>0.010921947867298578</v>
      </c>
      <c r="AX34" s="33">
        <f t="shared" si="31"/>
        <v>0.012851974550810014</v>
      </c>
      <c r="AY34" s="33">
        <f t="shared" si="32"/>
        <v>0.015522582857142857</v>
      </c>
      <c r="AZ34" s="33">
        <f t="shared" si="33"/>
        <v>0.00654984280155642</v>
      </c>
      <c r="BA34" s="33">
        <f t="shared" si="34"/>
        <v>0.007160330006480881</v>
      </c>
      <c r="BB34" s="30"/>
      <c r="BC34" s="36" t="s">
        <v>32</v>
      </c>
      <c r="BD34" s="31">
        <f t="shared" si="35"/>
        <v>3661690.0670000003</v>
      </c>
      <c r="BE34" s="33">
        <f t="shared" si="36"/>
        <v>3914045.507040574</v>
      </c>
      <c r="BF34" s="33">
        <f t="shared" si="37"/>
        <v>2228532.146724891</v>
      </c>
      <c r="BG34" s="33">
        <f t="shared" si="38"/>
        <v>4.089013290922485</v>
      </c>
      <c r="BH34" s="33">
        <f t="shared" si="39"/>
        <v>1.393349644654683</v>
      </c>
      <c r="BI34" s="33">
        <f t="shared" si="40"/>
        <v>1.346625846153846</v>
      </c>
      <c r="BJ34" s="33">
        <f t="shared" si="41"/>
        <v>2.546467895942721</v>
      </c>
      <c r="BK34" s="33">
        <f t="shared" si="42"/>
        <v>2.9267258986975397</v>
      </c>
      <c r="BL34" s="33">
        <f t="shared" si="43"/>
        <v>1.0977843755588674</v>
      </c>
      <c r="BM34" s="33">
        <f t="shared" si="44"/>
        <v>2.4048975903856906</v>
      </c>
      <c r="BN34" s="33">
        <f t="shared" si="45"/>
        <v>4.76631423329843</v>
      </c>
      <c r="BO34" s="33">
        <f t="shared" si="46"/>
        <v>3.606380317535545</v>
      </c>
      <c r="BP34" s="33">
        <f t="shared" si="47"/>
        <v>3.687417252901326</v>
      </c>
      <c r="BQ34" s="33">
        <f t="shared" si="48"/>
        <v>4.711144982857143</v>
      </c>
      <c r="BR34" s="33">
        <f t="shared" si="49"/>
        <v>3.4222536344806938</v>
      </c>
      <c r="BS34" s="33">
        <f t="shared" si="50"/>
        <v>3.4867789430978617</v>
      </c>
      <c r="BT34" s="25"/>
      <c r="BU34" s="11">
        <f t="shared" si="51"/>
        <v>2585.16990720384</v>
      </c>
      <c r="BV34" s="4">
        <f t="shared" si="52"/>
        <v>612769.2003699607</v>
      </c>
      <c r="BX34" s="4">
        <f t="shared" si="53"/>
        <v>610184.0304627568</v>
      </c>
    </row>
    <row r="35" spans="1:71" ht="15.75" thickTop="1">
      <c r="A35" s="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S35" s="27" t="s">
        <v>87</v>
      </c>
      <c r="T35" s="29">
        <f aca="true" t="shared" si="55" ref="T35:AI35">SUM(T7:T33)*100/T34</f>
        <v>1.4645915884602014</v>
      </c>
      <c r="U35" s="29">
        <f t="shared" si="55"/>
        <v>1.7945170660856933</v>
      </c>
      <c r="V35" s="29">
        <f t="shared" si="55"/>
        <v>1.0072105742935282</v>
      </c>
      <c r="W35" s="29">
        <f t="shared" si="55"/>
        <v>986118.5582365209</v>
      </c>
      <c r="X35" s="29">
        <f t="shared" si="55"/>
        <v>665773.2732732733</v>
      </c>
      <c r="Y35" s="29">
        <f t="shared" si="55"/>
        <v>39323576.923076935</v>
      </c>
      <c r="Z35" s="29">
        <f t="shared" si="55"/>
        <v>7788939.87341772</v>
      </c>
      <c r="AA35" s="29">
        <f t="shared" si="55"/>
        <v>4508796.1165048545</v>
      </c>
      <c r="AB35" s="29">
        <f t="shared" si="55"/>
        <v>27689850.746268652</v>
      </c>
      <c r="AC35" s="29">
        <f t="shared" si="55"/>
        <v>5566170.442286947</v>
      </c>
      <c r="AD35" s="29">
        <f t="shared" si="55"/>
        <v>5470199.854651165</v>
      </c>
      <c r="AE35" s="29">
        <f t="shared" si="55"/>
        <v>2604721.014492753</v>
      </c>
      <c r="AF35" s="29">
        <f t="shared" si="55"/>
        <v>1478521.1267605636</v>
      </c>
      <c r="AG35" s="29">
        <f t="shared" si="55"/>
        <v>2837418.0327868853</v>
      </c>
      <c r="AH35" s="29">
        <f t="shared" si="55"/>
        <v>10781448.107448107</v>
      </c>
      <c r="AI35" s="29">
        <f t="shared" si="55"/>
        <v>7158198.91172914</v>
      </c>
      <c r="AK35" s="16"/>
      <c r="AL35" s="32" t="s">
        <v>84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"/>
      <c r="BC35" s="37"/>
      <c r="BD35" s="32" t="s">
        <v>84</v>
      </c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</row>
    <row r="36" spans="20:71" ht="15">
      <c r="T36" s="1" t="s">
        <v>84</v>
      </c>
      <c r="AL36" s="10" t="s">
        <v>84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20:71" ht="15">
      <c r="T37" s="1" t="s">
        <v>84</v>
      </c>
      <c r="AL37" s="10" t="s">
        <v>84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20:71" ht="15">
      <c r="T38" s="1" t="s">
        <v>84</v>
      </c>
      <c r="AL38" s="10" t="s">
        <v>84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38:71" ht="15"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5.75" thickBot="1">
      <c r="A40" s="1" t="s">
        <v>33</v>
      </c>
      <c r="S40" s="1" t="s">
        <v>88</v>
      </c>
      <c r="AK40" s="1" t="s">
        <v>96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5.75" thickTop="1">
      <c r="A41" s="12" t="s">
        <v>1</v>
      </c>
      <c r="B41" s="15" t="s">
        <v>37</v>
      </c>
      <c r="C41" s="21" t="s">
        <v>40</v>
      </c>
      <c r="D41" s="21" t="s">
        <v>43</v>
      </c>
      <c r="E41" s="21" t="s">
        <v>46</v>
      </c>
      <c r="F41" s="21" t="s">
        <v>49</v>
      </c>
      <c r="G41" s="21" t="s">
        <v>52</v>
      </c>
      <c r="H41" s="21" t="s">
        <v>55</v>
      </c>
      <c r="I41" s="21" t="s">
        <v>58</v>
      </c>
      <c r="J41" s="21" t="s">
        <v>61</v>
      </c>
      <c r="K41" s="21" t="s">
        <v>64</v>
      </c>
      <c r="L41" s="21" t="s">
        <v>67</v>
      </c>
      <c r="M41" s="21" t="s">
        <v>70</v>
      </c>
      <c r="N41" s="21" t="s">
        <v>73</v>
      </c>
      <c r="O41" s="21" t="s">
        <v>76</v>
      </c>
      <c r="P41" s="21" t="s">
        <v>79</v>
      </c>
      <c r="Q41" s="21" t="s">
        <v>82</v>
      </c>
      <c r="R41" s="25"/>
      <c r="S41" s="12" t="s">
        <v>86</v>
      </c>
      <c r="T41" s="19" t="str">
        <f aca="true" t="shared" si="56" ref="T41:AI44">B41</f>
        <v>300, 301</v>
      </c>
      <c r="U41" s="26" t="str">
        <f t="shared" si="56"/>
        <v>309, 310</v>
      </c>
      <c r="V41" s="26" t="str">
        <f t="shared" si="56"/>
        <v>314, 317</v>
      </c>
      <c r="W41" s="26" t="str">
        <f t="shared" si="56"/>
        <v>320, 321</v>
      </c>
      <c r="X41" s="26" t="str">
        <f t="shared" si="56"/>
        <v>324</v>
      </c>
      <c r="Y41" s="26" t="str">
        <f t="shared" si="56"/>
        <v>326</v>
      </c>
      <c r="Z41" s="26" t="str">
        <f t="shared" si="56"/>
        <v>328</v>
      </c>
      <c r="AA41" s="26" t="str">
        <f t="shared" si="56"/>
        <v>330</v>
      </c>
      <c r="AB41" s="26" t="str">
        <f t="shared" si="56"/>
        <v>332</v>
      </c>
      <c r="AC41" s="26" t="str">
        <f t="shared" si="56"/>
        <v>334</v>
      </c>
      <c r="AD41" s="26" t="str">
        <f t="shared" si="56"/>
        <v>336</v>
      </c>
      <c r="AE41" s="26" t="str">
        <f t="shared" si="56"/>
        <v>338</v>
      </c>
      <c r="AF41" s="26" t="str">
        <f t="shared" si="56"/>
        <v>340</v>
      </c>
      <c r="AG41" s="26" t="str">
        <f t="shared" si="56"/>
        <v>344</v>
      </c>
      <c r="AH41" s="26" t="str">
        <f t="shared" si="56"/>
        <v>345, 346</v>
      </c>
      <c r="AI41" s="26" t="str">
        <f t="shared" si="56"/>
        <v>349</v>
      </c>
      <c r="AJ41" s="25"/>
      <c r="AK41" s="12" t="s">
        <v>1</v>
      </c>
      <c r="AL41" s="31" t="str">
        <f aca="true" t="shared" si="57" ref="AL41:BA44">T41</f>
        <v>300, 301</v>
      </c>
      <c r="AM41" s="33" t="str">
        <f t="shared" si="57"/>
        <v>309, 310</v>
      </c>
      <c r="AN41" s="33" t="str">
        <f t="shared" si="57"/>
        <v>314, 317</v>
      </c>
      <c r="AO41" s="33" t="str">
        <f t="shared" si="57"/>
        <v>320, 321</v>
      </c>
      <c r="AP41" s="33" t="str">
        <f t="shared" si="57"/>
        <v>324</v>
      </c>
      <c r="AQ41" s="33" t="str">
        <f t="shared" si="57"/>
        <v>326</v>
      </c>
      <c r="AR41" s="33" t="str">
        <f t="shared" si="57"/>
        <v>328</v>
      </c>
      <c r="AS41" s="33" t="str">
        <f t="shared" si="57"/>
        <v>330</v>
      </c>
      <c r="AT41" s="33" t="str">
        <f t="shared" si="57"/>
        <v>332</v>
      </c>
      <c r="AU41" s="33" t="str">
        <f t="shared" si="57"/>
        <v>334</v>
      </c>
      <c r="AV41" s="33" t="str">
        <f t="shared" si="57"/>
        <v>336</v>
      </c>
      <c r="AW41" s="33" t="str">
        <f t="shared" si="57"/>
        <v>338</v>
      </c>
      <c r="AX41" s="33" t="str">
        <f t="shared" si="57"/>
        <v>340</v>
      </c>
      <c r="AY41" s="33" t="str">
        <f t="shared" si="57"/>
        <v>344</v>
      </c>
      <c r="AZ41" s="33" t="str">
        <f t="shared" si="57"/>
        <v>345, 346</v>
      </c>
      <c r="BA41" s="33" t="str">
        <f t="shared" si="57"/>
        <v>349</v>
      </c>
      <c r="BB41" s="30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5">
      <c r="A42" s="13" t="s">
        <v>2</v>
      </c>
      <c r="B42" s="17" t="str">
        <f aca="true" t="shared" si="58" ref="B42:Q42">B3</f>
        <v>7/22/92</v>
      </c>
      <c r="C42" s="23" t="str">
        <f t="shared" si="58"/>
        <v>8/19/92</v>
      </c>
      <c r="D42" s="23" t="str">
        <f t="shared" si="58"/>
        <v>9/16/92</v>
      </c>
      <c r="E42" s="23" t="str">
        <f t="shared" si="58"/>
        <v>10/14/92</v>
      </c>
      <c r="F42" s="23" t="str">
        <f t="shared" si="58"/>
        <v>11/10/92</v>
      </c>
      <c r="G42" s="23" t="str">
        <f t="shared" si="58"/>
        <v>12/7/92</v>
      </c>
      <c r="H42" s="23" t="str">
        <f t="shared" si="58"/>
        <v>1/6/93</v>
      </c>
      <c r="I42" s="23" t="str">
        <f t="shared" si="58"/>
        <v>2/2/93</v>
      </c>
      <c r="J42" s="23" t="str">
        <f t="shared" si="58"/>
        <v>3/2/93</v>
      </c>
      <c r="K42" s="23" t="str">
        <f t="shared" si="58"/>
        <v>3/30/93</v>
      </c>
      <c r="L42" s="23" t="str">
        <f t="shared" si="58"/>
        <v>4/27/93</v>
      </c>
      <c r="M42" s="23" t="str">
        <f t="shared" si="58"/>
        <v>5/26/93</v>
      </c>
      <c r="N42" s="23" t="str">
        <f t="shared" si="58"/>
        <v>6/23/93</v>
      </c>
      <c r="O42" s="23" t="str">
        <f t="shared" si="58"/>
        <v>7/22/93</v>
      </c>
      <c r="P42" s="23" t="str">
        <f t="shared" si="58"/>
        <v>8/4/93</v>
      </c>
      <c r="Q42" s="23" t="str">
        <f t="shared" si="58"/>
        <v>9/1/93</v>
      </c>
      <c r="R42" s="25"/>
      <c r="S42" s="13" t="s">
        <v>84</v>
      </c>
      <c r="T42" s="17" t="str">
        <f t="shared" si="56"/>
        <v>7/22/92</v>
      </c>
      <c r="U42" s="23" t="str">
        <f t="shared" si="56"/>
        <v>8/19/92</v>
      </c>
      <c r="V42" s="23" t="str">
        <f t="shared" si="56"/>
        <v>9/16/92</v>
      </c>
      <c r="W42" s="23" t="str">
        <f t="shared" si="56"/>
        <v>10/14/92</v>
      </c>
      <c r="X42" s="23" t="str">
        <f t="shared" si="56"/>
        <v>11/10/92</v>
      </c>
      <c r="Y42" s="23" t="str">
        <f t="shared" si="56"/>
        <v>12/7/92</v>
      </c>
      <c r="Z42" s="23" t="str">
        <f t="shared" si="56"/>
        <v>1/6/93</v>
      </c>
      <c r="AA42" s="23" t="str">
        <f t="shared" si="56"/>
        <v>2/2/93</v>
      </c>
      <c r="AB42" s="23" t="str">
        <f t="shared" si="56"/>
        <v>3/2/93</v>
      </c>
      <c r="AC42" s="23" t="str">
        <f t="shared" si="56"/>
        <v>3/30/93</v>
      </c>
      <c r="AD42" s="23" t="str">
        <f t="shared" si="56"/>
        <v>4/27/93</v>
      </c>
      <c r="AE42" s="23" t="str">
        <f t="shared" si="56"/>
        <v>5/26/93</v>
      </c>
      <c r="AF42" s="23" t="str">
        <f t="shared" si="56"/>
        <v>6/23/93</v>
      </c>
      <c r="AG42" s="23" t="str">
        <f t="shared" si="56"/>
        <v>7/22/93</v>
      </c>
      <c r="AH42" s="23" t="str">
        <f t="shared" si="56"/>
        <v>8/4/93</v>
      </c>
      <c r="AI42" s="23" t="str">
        <f t="shared" si="56"/>
        <v>9/1/93</v>
      </c>
      <c r="AJ42" s="25"/>
      <c r="AK42" s="13" t="s">
        <v>2</v>
      </c>
      <c r="AL42" s="28" t="str">
        <f t="shared" si="57"/>
        <v>7/22/92</v>
      </c>
      <c r="AM42" s="30" t="str">
        <f t="shared" si="57"/>
        <v>8/19/92</v>
      </c>
      <c r="AN42" s="30" t="str">
        <f t="shared" si="57"/>
        <v>9/16/92</v>
      </c>
      <c r="AO42" s="30" t="str">
        <f t="shared" si="57"/>
        <v>10/14/92</v>
      </c>
      <c r="AP42" s="30" t="str">
        <f t="shared" si="57"/>
        <v>11/10/92</v>
      </c>
      <c r="AQ42" s="30" t="str">
        <f t="shared" si="57"/>
        <v>12/7/92</v>
      </c>
      <c r="AR42" s="30" t="str">
        <f t="shared" si="57"/>
        <v>1/6/93</v>
      </c>
      <c r="AS42" s="30" t="str">
        <f t="shared" si="57"/>
        <v>2/2/93</v>
      </c>
      <c r="AT42" s="30" t="str">
        <f t="shared" si="57"/>
        <v>3/2/93</v>
      </c>
      <c r="AU42" s="30" t="str">
        <f t="shared" si="57"/>
        <v>3/30/93</v>
      </c>
      <c r="AV42" s="30" t="str">
        <f t="shared" si="57"/>
        <v>4/27/93</v>
      </c>
      <c r="AW42" s="30" t="str">
        <f t="shared" si="57"/>
        <v>5/26/93</v>
      </c>
      <c r="AX42" s="30" t="str">
        <f t="shared" si="57"/>
        <v>6/23/93</v>
      </c>
      <c r="AY42" s="30" t="str">
        <f t="shared" si="57"/>
        <v>7/22/93</v>
      </c>
      <c r="AZ42" s="30" t="str">
        <f t="shared" si="57"/>
        <v>8/4/93</v>
      </c>
      <c r="BA42" s="30" t="str">
        <f t="shared" si="57"/>
        <v>9/1/93</v>
      </c>
      <c r="BB42" s="30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5">
      <c r="A43" s="13" t="s">
        <v>3</v>
      </c>
      <c r="B43" s="17">
        <f aca="true" t="shared" si="59" ref="B43:Q43">B4</f>
        <v>360</v>
      </c>
      <c r="C43" s="23">
        <f t="shared" si="59"/>
        <v>335.2</v>
      </c>
      <c r="D43" s="23">
        <f t="shared" si="59"/>
        <v>206.1</v>
      </c>
      <c r="E43" s="23">
        <f t="shared" si="59"/>
        <v>312.2</v>
      </c>
      <c r="F43" s="23">
        <f t="shared" si="59"/>
        <v>317.1</v>
      </c>
      <c r="G43" s="23">
        <f t="shared" si="59"/>
        <v>117</v>
      </c>
      <c r="H43" s="23">
        <f t="shared" si="59"/>
        <v>335.2</v>
      </c>
      <c r="I43" s="23">
        <f t="shared" si="59"/>
        <v>207.3</v>
      </c>
      <c r="J43" s="23">
        <f t="shared" si="59"/>
        <v>335.5</v>
      </c>
      <c r="K43" s="23">
        <f t="shared" si="59"/>
        <v>357.8</v>
      </c>
      <c r="L43" s="23">
        <f t="shared" si="59"/>
        <v>382</v>
      </c>
      <c r="M43" s="23">
        <f t="shared" si="59"/>
        <v>337.6</v>
      </c>
      <c r="N43" s="23">
        <f t="shared" si="59"/>
        <v>339.5</v>
      </c>
      <c r="O43" s="23">
        <f t="shared" si="59"/>
        <v>315</v>
      </c>
      <c r="P43" s="23">
        <f t="shared" si="59"/>
        <v>334.1</v>
      </c>
      <c r="Q43" s="23">
        <f t="shared" si="59"/>
        <v>308.6</v>
      </c>
      <c r="R43" s="25"/>
      <c r="S43" s="13" t="s">
        <v>84</v>
      </c>
      <c r="T43" s="17">
        <f t="shared" si="56"/>
        <v>360</v>
      </c>
      <c r="U43" s="23">
        <f t="shared" si="56"/>
        <v>335.2</v>
      </c>
      <c r="V43" s="23">
        <f t="shared" si="56"/>
        <v>206.1</v>
      </c>
      <c r="W43" s="23">
        <f t="shared" si="56"/>
        <v>312.2</v>
      </c>
      <c r="X43" s="23">
        <f t="shared" si="56"/>
        <v>317.1</v>
      </c>
      <c r="Y43" s="23">
        <f t="shared" si="56"/>
        <v>117</v>
      </c>
      <c r="Z43" s="23">
        <f t="shared" si="56"/>
        <v>335.2</v>
      </c>
      <c r="AA43" s="23">
        <f t="shared" si="56"/>
        <v>207.3</v>
      </c>
      <c r="AB43" s="23">
        <f t="shared" si="56"/>
        <v>335.5</v>
      </c>
      <c r="AC43" s="23">
        <f t="shared" si="56"/>
        <v>357.8</v>
      </c>
      <c r="AD43" s="23">
        <f t="shared" si="56"/>
        <v>382</v>
      </c>
      <c r="AE43" s="23">
        <f t="shared" si="56"/>
        <v>337.6</v>
      </c>
      <c r="AF43" s="23">
        <f t="shared" si="56"/>
        <v>339.5</v>
      </c>
      <c r="AG43" s="23">
        <f t="shared" si="56"/>
        <v>315</v>
      </c>
      <c r="AH43" s="23">
        <f t="shared" si="56"/>
        <v>334.1</v>
      </c>
      <c r="AI43" s="23">
        <f t="shared" si="56"/>
        <v>308.6</v>
      </c>
      <c r="AJ43" s="25"/>
      <c r="AK43" s="13" t="s">
        <v>3</v>
      </c>
      <c r="AL43" s="17">
        <f t="shared" si="57"/>
        <v>360</v>
      </c>
      <c r="AM43" s="23">
        <f t="shared" si="57"/>
        <v>335.2</v>
      </c>
      <c r="AN43" s="23">
        <f t="shared" si="57"/>
        <v>206.1</v>
      </c>
      <c r="AO43" s="23">
        <f t="shared" si="57"/>
        <v>312.2</v>
      </c>
      <c r="AP43" s="23">
        <f t="shared" si="57"/>
        <v>317.1</v>
      </c>
      <c r="AQ43" s="23">
        <f t="shared" si="57"/>
        <v>117</v>
      </c>
      <c r="AR43" s="23">
        <f t="shared" si="57"/>
        <v>335.2</v>
      </c>
      <c r="AS43" s="23">
        <f t="shared" si="57"/>
        <v>207.3</v>
      </c>
      <c r="AT43" s="23">
        <f t="shared" si="57"/>
        <v>335.5</v>
      </c>
      <c r="AU43" s="23">
        <f t="shared" si="57"/>
        <v>357.8</v>
      </c>
      <c r="AV43" s="23">
        <f t="shared" si="57"/>
        <v>382</v>
      </c>
      <c r="AW43" s="23">
        <f t="shared" si="57"/>
        <v>337.6</v>
      </c>
      <c r="AX43" s="23">
        <f t="shared" si="57"/>
        <v>339.5</v>
      </c>
      <c r="AY43" s="23">
        <f t="shared" si="57"/>
        <v>315</v>
      </c>
      <c r="AZ43" s="23">
        <f t="shared" si="57"/>
        <v>334.1</v>
      </c>
      <c r="BA43" s="23">
        <f t="shared" si="57"/>
        <v>308.6</v>
      </c>
      <c r="BB43" s="30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5">
      <c r="A44" s="13" t="s">
        <v>4</v>
      </c>
      <c r="B44" s="17">
        <f aca="true" t="shared" si="60" ref="B44:Q44">B5</f>
        <v>1.07</v>
      </c>
      <c r="C44" s="23">
        <f t="shared" si="60"/>
        <v>0.03</v>
      </c>
      <c r="D44" s="23">
        <f t="shared" si="60"/>
        <v>1.09</v>
      </c>
      <c r="E44" s="23">
        <f t="shared" si="60"/>
        <v>0.66</v>
      </c>
      <c r="F44" s="23">
        <f t="shared" si="60"/>
        <v>3.22</v>
      </c>
      <c r="G44" s="23">
        <f t="shared" si="60"/>
        <v>7.99</v>
      </c>
      <c r="H44" s="23">
        <f t="shared" si="60"/>
        <v>0.81</v>
      </c>
      <c r="I44" s="23">
        <f t="shared" si="60"/>
        <v>3.24</v>
      </c>
      <c r="J44" s="23">
        <f t="shared" si="60"/>
        <v>1.77</v>
      </c>
      <c r="K44" s="23">
        <f t="shared" si="60"/>
        <v>2.65</v>
      </c>
      <c r="L44" s="23">
        <f t="shared" si="60"/>
        <v>0.12</v>
      </c>
      <c r="M44" s="23">
        <f t="shared" si="60"/>
        <v>1.25</v>
      </c>
      <c r="N44" s="23">
        <f t="shared" si="60"/>
        <v>0.26</v>
      </c>
      <c r="O44" s="23">
        <f t="shared" si="60"/>
        <v>0.97</v>
      </c>
      <c r="P44" s="23">
        <f t="shared" si="60"/>
        <v>0.63</v>
      </c>
      <c r="Q44" s="23">
        <f t="shared" si="60"/>
        <v>1.46</v>
      </c>
      <c r="R44" s="25"/>
      <c r="S44" s="13" t="s">
        <v>84</v>
      </c>
      <c r="T44" s="17">
        <f t="shared" si="56"/>
        <v>1.07</v>
      </c>
      <c r="U44" s="23">
        <f t="shared" si="56"/>
        <v>0.03</v>
      </c>
      <c r="V44" s="23">
        <f t="shared" si="56"/>
        <v>1.09</v>
      </c>
      <c r="W44" s="23">
        <f t="shared" si="56"/>
        <v>0.66</v>
      </c>
      <c r="X44" s="23">
        <f t="shared" si="56"/>
        <v>3.22</v>
      </c>
      <c r="Y44" s="23">
        <f t="shared" si="56"/>
        <v>7.99</v>
      </c>
      <c r="Z44" s="23">
        <f t="shared" si="56"/>
        <v>0.81</v>
      </c>
      <c r="AA44" s="23">
        <f t="shared" si="56"/>
        <v>3.24</v>
      </c>
      <c r="AB44" s="23">
        <f t="shared" si="56"/>
        <v>1.77</v>
      </c>
      <c r="AC44" s="23">
        <f t="shared" si="56"/>
        <v>2.65</v>
      </c>
      <c r="AD44" s="23">
        <f t="shared" si="56"/>
        <v>0.12</v>
      </c>
      <c r="AE44" s="23">
        <f t="shared" si="56"/>
        <v>1.25</v>
      </c>
      <c r="AF44" s="23">
        <f t="shared" si="56"/>
        <v>0.26</v>
      </c>
      <c r="AG44" s="23">
        <f t="shared" si="56"/>
        <v>0.97</v>
      </c>
      <c r="AH44" s="23">
        <f t="shared" si="56"/>
        <v>0.63</v>
      </c>
      <c r="AI44" s="23">
        <f t="shared" si="56"/>
        <v>1.46</v>
      </c>
      <c r="AJ44" s="25"/>
      <c r="AK44" s="13" t="s">
        <v>4</v>
      </c>
      <c r="AL44" s="17">
        <f t="shared" si="57"/>
        <v>1.07</v>
      </c>
      <c r="AM44" s="23">
        <f t="shared" si="57"/>
        <v>0.03</v>
      </c>
      <c r="AN44" s="23">
        <f t="shared" si="57"/>
        <v>1.09</v>
      </c>
      <c r="AO44" s="23">
        <f t="shared" si="57"/>
        <v>0.66</v>
      </c>
      <c r="AP44" s="23">
        <f t="shared" si="57"/>
        <v>3.22</v>
      </c>
      <c r="AQ44" s="23">
        <f t="shared" si="57"/>
        <v>7.99</v>
      </c>
      <c r="AR44" s="23">
        <f t="shared" si="57"/>
        <v>0.81</v>
      </c>
      <c r="AS44" s="23">
        <f t="shared" si="57"/>
        <v>3.24</v>
      </c>
      <c r="AT44" s="23">
        <f t="shared" si="57"/>
        <v>1.77</v>
      </c>
      <c r="AU44" s="23">
        <f t="shared" si="57"/>
        <v>2.65</v>
      </c>
      <c r="AV44" s="23">
        <f t="shared" si="57"/>
        <v>0.12</v>
      </c>
      <c r="AW44" s="23">
        <f t="shared" si="57"/>
        <v>1.25</v>
      </c>
      <c r="AX44" s="23">
        <f t="shared" si="57"/>
        <v>0.26</v>
      </c>
      <c r="AY44" s="23">
        <f t="shared" si="57"/>
        <v>0.97</v>
      </c>
      <c r="AZ44" s="23">
        <f t="shared" si="57"/>
        <v>0.63</v>
      </c>
      <c r="BA44" s="23">
        <f t="shared" si="57"/>
        <v>1.46</v>
      </c>
      <c r="BB44" s="30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5">
      <c r="A45" s="14"/>
      <c r="B45" s="1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14"/>
      <c r="T45" s="1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/>
      <c r="AK45" s="14"/>
      <c r="AL45" s="31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0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5">
      <c r="A46" s="13" t="s">
        <v>5</v>
      </c>
      <c r="B46" s="17">
        <f>11450+25516</f>
        <v>36966</v>
      </c>
      <c r="C46" s="23">
        <f>28107+39085</f>
        <v>67192</v>
      </c>
      <c r="D46" s="23">
        <v>17017</v>
      </c>
      <c r="E46" s="23">
        <v>4494</v>
      </c>
      <c r="F46" s="23">
        <v>3980</v>
      </c>
      <c r="G46" s="23">
        <v>201577</v>
      </c>
      <c r="H46" s="23">
        <v>3889</v>
      </c>
      <c r="I46" s="23">
        <v>1905</v>
      </c>
      <c r="J46" s="25"/>
      <c r="K46" s="23">
        <v>5698</v>
      </c>
      <c r="L46" s="23">
        <v>15681</v>
      </c>
      <c r="M46" s="23">
        <v>10747</v>
      </c>
      <c r="N46" s="23">
        <v>26503</v>
      </c>
      <c r="O46" s="23">
        <v>20267</v>
      </c>
      <c r="P46" s="23">
        <f>3562+8217</f>
        <v>11779</v>
      </c>
      <c r="Q46" s="23">
        <v>8028</v>
      </c>
      <c r="R46" s="25"/>
      <c r="S46" s="17">
        <v>0</v>
      </c>
      <c r="T46" s="28">
        <f aca="true" t="shared" si="61" ref="T46:T72">IF(B46-$S46&lt;0.0001,"ND",(1.4844*(B46-$S46))/T$43)</f>
        <v>152.42314</v>
      </c>
      <c r="U46" s="30">
        <f aca="true" t="shared" si="62" ref="U46:U72">IF(C46-$S46&lt;0.0001,"ND",(1.4844*(C46-$S46))/U$43)</f>
        <v>297.5531169451074</v>
      </c>
      <c r="V46" s="30">
        <f aca="true" t="shared" si="63" ref="V46:V72">IF(D46-$S46&lt;0.0001,"ND",(1.4844*(D46-$S46))/V$43)</f>
        <v>122.56203202328966</v>
      </c>
      <c r="W46" s="30">
        <f aca="true" t="shared" si="64" ref="W46:W72">IF(E46-$S46&lt;0.0001,"ND",(1.4844*(E46-$S46))/W$43)</f>
        <v>21.367372197309415</v>
      </c>
      <c r="X46" s="30">
        <f aca="true" t="shared" si="65" ref="X46:X72">IF(F46-$S46&lt;0.0001,"ND",(1.4844*(F46-$S46))/X$43)</f>
        <v>18.631069063386942</v>
      </c>
      <c r="Y46" s="30">
        <f aca="true" t="shared" si="66" ref="Y46:Y72">IF(G46-$S46&lt;0.0001,"ND",(1.4844*(G46-$S46))/Y$43)</f>
        <v>2557.4435794871792</v>
      </c>
      <c r="Z46" s="30">
        <f aca="true" t="shared" si="67" ref="Z46:Z72">IF(H46-$S46&lt;0.0001,"ND",(1.4844*(H46-$S46))/Z$43)</f>
        <v>17.222051312649164</v>
      </c>
      <c r="AA46" s="30">
        <f aca="true" t="shared" si="68" ref="AA46:AA72">IF(I46-$S46&lt;0.0001,"ND",(1.4844*(I46-$S46))/AA$43)</f>
        <v>13.641013024602024</v>
      </c>
      <c r="AB46" s="30" t="str">
        <f aca="true" t="shared" si="69" ref="AB46:AB72">IF(J46-$S46&lt;0.0001,"ND",(1.4844*(J46-$S46))/AB$43)</f>
        <v>ND</v>
      </c>
      <c r="AC46" s="30">
        <f aca="true" t="shared" si="70" ref="AC46:AC72">IF(K46-$S46&lt;0.0001,"ND",(1.4844*(K46-$S46))/AC$43)</f>
        <v>23.63921520402459</v>
      </c>
      <c r="AD46" s="30">
        <f aca="true" t="shared" si="71" ref="AD46:AD72">IF(L46-$S46&lt;0.0001,"ND",(1.4844*(L46-$S46))/AD$43)</f>
        <v>60.93423141361256</v>
      </c>
      <c r="AE46" s="30">
        <f aca="true" t="shared" si="72" ref="AE46:AE72">IF(M46-$S46&lt;0.0001,"ND",(1.4844*(M46-$S46))/AE$43)</f>
        <v>47.25369312796208</v>
      </c>
      <c r="AF46" s="30">
        <f aca="true" t="shared" si="73" ref="AF46:AF72">IF(N46-$S46&lt;0.0001,"ND",(1.4844*(N46-$S46))/AF$43)</f>
        <v>115.87939086892487</v>
      </c>
      <c r="AG46" s="30">
        <f aca="true" t="shared" si="74" ref="AG46:AG72">IF(O46-$S46&lt;0.0001,"ND",(1.4844*(O46-$S46))/AG$43)</f>
        <v>95.50582476190476</v>
      </c>
      <c r="AH46" s="30">
        <f aca="true" t="shared" si="75" ref="AH46:AH72">IF(P46-$S46&lt;0.0001,"ND",(1.4844*(P46-$S46))/AH$43)</f>
        <v>52.33387488775815</v>
      </c>
      <c r="AI46" s="30">
        <f aca="true" t="shared" si="76" ref="AI46:AI72">IF(Q46-$S46&lt;0.0001,"ND",(1.4844*(Q46-$S46))/AI$43)</f>
        <v>38.615564484769926</v>
      </c>
      <c r="AJ46" s="25"/>
      <c r="AK46" s="13" t="s">
        <v>5</v>
      </c>
      <c r="AL46" s="28">
        <f aca="true" t="shared" si="77" ref="AL46:AL72">IF(T46=0,"ND",0.05*T46*3600)</f>
        <v>27436.1652</v>
      </c>
      <c r="AM46" s="28">
        <f aca="true" t="shared" si="78" ref="AM46:AM72">IF(U46=0,"ND",0.05*U46*3600)</f>
        <v>53559.56105011933</v>
      </c>
      <c r="AN46" s="28">
        <f aca="true" t="shared" si="79" ref="AN46:AN72">IF(V46=0,"ND",0.05*V46*3600)</f>
        <v>22061.16576419214</v>
      </c>
      <c r="AO46" s="28">
        <f aca="true" t="shared" si="80" ref="AO46:AO72">IF(W46=0,"ND",0.05*W46*3600)</f>
        <v>3846.126995515695</v>
      </c>
      <c r="AP46" s="28">
        <f aca="true" t="shared" si="81" ref="AP46:AP72">IF(X46=0,"ND",0.05*X46*3600)</f>
        <v>3353.5924314096496</v>
      </c>
      <c r="AQ46" s="28">
        <f aca="true" t="shared" si="82" ref="AQ46:AQ72">IF(Y46=0,"ND",0.05*Y46*3600)</f>
        <v>460339.8443076923</v>
      </c>
      <c r="AR46" s="28">
        <f aca="true" t="shared" si="83" ref="AR46:AR72">IF(Z46=0,"ND",0.05*Z46*3600)</f>
        <v>3099.9692362768496</v>
      </c>
      <c r="AS46" s="28">
        <f aca="true" t="shared" si="84" ref="AS46:AS72">IF(AA46=0,"ND",0.05*AA46*3600)</f>
        <v>2455.3823444283644</v>
      </c>
      <c r="AT46" s="28" t="str">
        <f aca="true" t="shared" si="85" ref="AT46:AT72">IF(AB46=0,"ND",0.05*AB46*3600)</f>
        <v>ND</v>
      </c>
      <c r="AU46" s="28">
        <f aca="true" t="shared" si="86" ref="AU46:AU72">IF(AC46=0,"ND",0.05*AC46*3600)</f>
        <v>4255.058736724427</v>
      </c>
      <c r="AV46" s="28">
        <f aca="true" t="shared" si="87" ref="AV46:AV72">IF(AD46=0,"ND",0.05*AD46*3600)</f>
        <v>10968.161654450261</v>
      </c>
      <c r="AW46" s="28">
        <f aca="true" t="shared" si="88" ref="AW46:AW72">IF(AE46=0,"ND",0.05*AE46*3600)</f>
        <v>8505.664763033175</v>
      </c>
      <c r="AX46" s="28">
        <f aca="true" t="shared" si="89" ref="AX46:AX72">IF(AF46=0,"ND",0.05*AF46*3600)</f>
        <v>20858.29035640648</v>
      </c>
      <c r="AY46" s="28">
        <f aca="true" t="shared" si="90" ref="AY46:AY72">IF(AG46=0,"ND",0.05*AG46*3600)</f>
        <v>17191.048457142857</v>
      </c>
      <c r="AZ46" s="28">
        <f aca="true" t="shared" si="91" ref="AZ46:AZ72">IF(AH46=0,"ND",0.05*AH46*3600)</f>
        <v>9420.097479796466</v>
      </c>
      <c r="BA46" s="28">
        <f aca="true" t="shared" si="92" ref="BA46:BA72">IF(AI46=0,"ND",0.05*AI46*3600)</f>
        <v>6950.801607258587</v>
      </c>
      <c r="BB46" s="30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5">
      <c r="A47" s="13" t="s">
        <v>6</v>
      </c>
      <c r="B47" s="17">
        <f>53343+126249</f>
        <v>179592</v>
      </c>
      <c r="C47" s="23">
        <f>67625+76743</f>
        <v>144368</v>
      </c>
      <c r="D47" s="23">
        <f>3112+28991</f>
        <v>32103</v>
      </c>
      <c r="E47" s="23">
        <f>112703+2156</f>
        <v>114859</v>
      </c>
      <c r="F47" s="23">
        <v>23263</v>
      </c>
      <c r="G47" s="23">
        <v>28913</v>
      </c>
      <c r="H47" s="23">
        <v>21990</v>
      </c>
      <c r="I47" s="23">
        <v>18561</v>
      </c>
      <c r="J47" s="23">
        <v>26847</v>
      </c>
      <c r="K47" s="23">
        <v>75389</v>
      </c>
      <c r="L47" s="23">
        <v>253655</v>
      </c>
      <c r="M47" s="23">
        <v>34339</v>
      </c>
      <c r="N47" s="23">
        <v>113185</v>
      </c>
      <c r="O47" s="23">
        <v>149843</v>
      </c>
      <c r="P47" s="23">
        <f>12477+90545</f>
        <v>103022</v>
      </c>
      <c r="Q47" s="23">
        <v>52197</v>
      </c>
      <c r="R47" s="25"/>
      <c r="S47" s="17">
        <v>2039</v>
      </c>
      <c r="T47" s="28">
        <f t="shared" si="61"/>
        <v>732.1102033333332</v>
      </c>
      <c r="U47" s="30">
        <f t="shared" si="62"/>
        <v>630.2898794749403</v>
      </c>
      <c r="V47" s="30">
        <f t="shared" si="63"/>
        <v>216.53081804949053</v>
      </c>
      <c r="W47" s="30">
        <f t="shared" si="64"/>
        <v>536.4189878283152</v>
      </c>
      <c r="X47" s="30">
        <f t="shared" si="65"/>
        <v>99.35321854304634</v>
      </c>
      <c r="Y47" s="30">
        <f t="shared" si="66"/>
        <v>340.9552615384615</v>
      </c>
      <c r="Z47" s="30">
        <f t="shared" si="67"/>
        <v>88.35102744630072</v>
      </c>
      <c r="AA47" s="30">
        <f t="shared" si="68"/>
        <v>118.30804052098406</v>
      </c>
      <c r="AB47" s="30">
        <f t="shared" si="69"/>
        <v>109.76153561847987</v>
      </c>
      <c r="AC47" s="30">
        <f t="shared" si="70"/>
        <v>304.306148686417</v>
      </c>
      <c r="AD47" s="30">
        <f t="shared" si="71"/>
        <v>977.7455246073298</v>
      </c>
      <c r="AE47" s="30">
        <f t="shared" si="72"/>
        <v>142.02049763033173</v>
      </c>
      <c r="AF47" s="30">
        <f t="shared" si="73"/>
        <v>485.9650144329897</v>
      </c>
      <c r="AG47" s="30">
        <f t="shared" si="74"/>
        <v>696.5087542857142</v>
      </c>
      <c r="AH47" s="30">
        <f t="shared" si="75"/>
        <v>448.6655648009577</v>
      </c>
      <c r="AI47" s="30">
        <f t="shared" si="76"/>
        <v>241.26550615683732</v>
      </c>
      <c r="AJ47" s="25"/>
      <c r="AK47" s="13" t="s">
        <v>6</v>
      </c>
      <c r="AL47" s="28">
        <f t="shared" si="77"/>
        <v>131779.83659999998</v>
      </c>
      <c r="AM47" s="28">
        <f t="shared" si="78"/>
        <v>113452.17830548927</v>
      </c>
      <c r="AN47" s="28">
        <f t="shared" si="79"/>
        <v>38975.5472489083</v>
      </c>
      <c r="AO47" s="28">
        <f t="shared" si="80"/>
        <v>96555.41780909673</v>
      </c>
      <c r="AP47" s="28">
        <f t="shared" si="81"/>
        <v>17883.579337748342</v>
      </c>
      <c r="AQ47" s="28">
        <f t="shared" si="82"/>
        <v>61371.947076923076</v>
      </c>
      <c r="AR47" s="28">
        <f t="shared" si="83"/>
        <v>15903.18494033413</v>
      </c>
      <c r="AS47" s="28">
        <f t="shared" si="84"/>
        <v>21295.447293777135</v>
      </c>
      <c r="AT47" s="28">
        <f t="shared" si="85"/>
        <v>19757.076411326376</v>
      </c>
      <c r="AU47" s="28">
        <f t="shared" si="86"/>
        <v>54775.10676355506</v>
      </c>
      <c r="AV47" s="28">
        <f t="shared" si="87"/>
        <v>175994.19442931938</v>
      </c>
      <c r="AW47" s="28">
        <f t="shared" si="88"/>
        <v>25563.689573459713</v>
      </c>
      <c r="AX47" s="28">
        <f t="shared" si="89"/>
        <v>87473.70259793814</v>
      </c>
      <c r="AY47" s="28">
        <f t="shared" si="90"/>
        <v>125371.57577142856</v>
      </c>
      <c r="AZ47" s="28">
        <f t="shared" si="91"/>
        <v>80759.8016641724</v>
      </c>
      <c r="BA47" s="28">
        <f t="shared" si="92"/>
        <v>43427.79110823072</v>
      </c>
      <c r="BB47" s="30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5">
      <c r="A48" s="13" t="s">
        <v>7</v>
      </c>
      <c r="B48" s="18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7">
        <v>0</v>
      </c>
      <c r="T48" s="28" t="str">
        <f t="shared" si="61"/>
        <v>ND</v>
      </c>
      <c r="U48" s="30" t="str">
        <f t="shared" si="62"/>
        <v>ND</v>
      </c>
      <c r="V48" s="30" t="str">
        <f t="shared" si="63"/>
        <v>ND</v>
      </c>
      <c r="W48" s="30" t="str">
        <f t="shared" si="64"/>
        <v>ND</v>
      </c>
      <c r="X48" s="30" t="str">
        <f t="shared" si="65"/>
        <v>ND</v>
      </c>
      <c r="Y48" s="30" t="str">
        <f t="shared" si="66"/>
        <v>ND</v>
      </c>
      <c r="Z48" s="30" t="str">
        <f t="shared" si="67"/>
        <v>ND</v>
      </c>
      <c r="AA48" s="30" t="str">
        <f t="shared" si="68"/>
        <v>ND</v>
      </c>
      <c r="AB48" s="30" t="str">
        <f t="shared" si="69"/>
        <v>ND</v>
      </c>
      <c r="AC48" s="30" t="str">
        <f t="shared" si="70"/>
        <v>ND</v>
      </c>
      <c r="AD48" s="30" t="str">
        <f t="shared" si="71"/>
        <v>ND</v>
      </c>
      <c r="AE48" s="30" t="str">
        <f t="shared" si="72"/>
        <v>ND</v>
      </c>
      <c r="AF48" s="30" t="str">
        <f t="shared" si="73"/>
        <v>ND</v>
      </c>
      <c r="AG48" s="30" t="str">
        <f t="shared" si="74"/>
        <v>ND</v>
      </c>
      <c r="AH48" s="30" t="str">
        <f t="shared" si="75"/>
        <v>ND</v>
      </c>
      <c r="AI48" s="30" t="str">
        <f t="shared" si="76"/>
        <v>ND</v>
      </c>
      <c r="AJ48" s="25"/>
      <c r="AK48" s="13" t="s">
        <v>7</v>
      </c>
      <c r="AL48" s="28" t="str">
        <f t="shared" si="77"/>
        <v>ND</v>
      </c>
      <c r="AM48" s="28" t="str">
        <f t="shared" si="78"/>
        <v>ND</v>
      </c>
      <c r="AN48" s="28" t="str">
        <f t="shared" si="79"/>
        <v>ND</v>
      </c>
      <c r="AO48" s="28" t="str">
        <f t="shared" si="80"/>
        <v>ND</v>
      </c>
      <c r="AP48" s="28" t="str">
        <f t="shared" si="81"/>
        <v>ND</v>
      </c>
      <c r="AQ48" s="28" t="str">
        <f t="shared" si="82"/>
        <v>ND</v>
      </c>
      <c r="AR48" s="28" t="str">
        <f t="shared" si="83"/>
        <v>ND</v>
      </c>
      <c r="AS48" s="28" t="str">
        <f t="shared" si="84"/>
        <v>ND</v>
      </c>
      <c r="AT48" s="28" t="str">
        <f t="shared" si="85"/>
        <v>ND</v>
      </c>
      <c r="AU48" s="28" t="str">
        <f t="shared" si="86"/>
        <v>ND</v>
      </c>
      <c r="AV48" s="28" t="str">
        <f t="shared" si="87"/>
        <v>ND</v>
      </c>
      <c r="AW48" s="28" t="str">
        <f t="shared" si="88"/>
        <v>ND</v>
      </c>
      <c r="AX48" s="28" t="str">
        <f t="shared" si="89"/>
        <v>ND</v>
      </c>
      <c r="AY48" s="28" t="str">
        <f t="shared" si="90"/>
        <v>ND</v>
      </c>
      <c r="AZ48" s="28" t="str">
        <f t="shared" si="91"/>
        <v>ND</v>
      </c>
      <c r="BA48" s="28" t="str">
        <f t="shared" si="92"/>
        <v>ND</v>
      </c>
      <c r="BB48" s="30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5">
      <c r="A49" s="13" t="s">
        <v>8</v>
      </c>
      <c r="B49" s="18"/>
      <c r="C49" s="25"/>
      <c r="D49" s="25"/>
      <c r="E49" s="25"/>
      <c r="F49" s="25"/>
      <c r="G49" s="23">
        <v>38.6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7">
        <v>0</v>
      </c>
      <c r="T49" s="28" t="str">
        <f t="shared" si="61"/>
        <v>ND</v>
      </c>
      <c r="U49" s="30" t="str">
        <f t="shared" si="62"/>
        <v>ND</v>
      </c>
      <c r="V49" s="30" t="str">
        <f t="shared" si="63"/>
        <v>ND</v>
      </c>
      <c r="W49" s="30" t="str">
        <f t="shared" si="64"/>
        <v>ND</v>
      </c>
      <c r="X49" s="30" t="str">
        <f t="shared" si="65"/>
        <v>ND</v>
      </c>
      <c r="Y49" s="30">
        <f t="shared" si="66"/>
        <v>0.4897251282051282</v>
      </c>
      <c r="Z49" s="30" t="str">
        <f t="shared" si="67"/>
        <v>ND</v>
      </c>
      <c r="AA49" s="30" t="str">
        <f t="shared" si="68"/>
        <v>ND</v>
      </c>
      <c r="AB49" s="30" t="str">
        <f t="shared" si="69"/>
        <v>ND</v>
      </c>
      <c r="AC49" s="30" t="str">
        <f t="shared" si="70"/>
        <v>ND</v>
      </c>
      <c r="AD49" s="30" t="str">
        <f t="shared" si="71"/>
        <v>ND</v>
      </c>
      <c r="AE49" s="30" t="str">
        <f t="shared" si="72"/>
        <v>ND</v>
      </c>
      <c r="AF49" s="30" t="str">
        <f t="shared" si="73"/>
        <v>ND</v>
      </c>
      <c r="AG49" s="30" t="str">
        <f t="shared" si="74"/>
        <v>ND</v>
      </c>
      <c r="AH49" s="30" t="str">
        <f t="shared" si="75"/>
        <v>ND</v>
      </c>
      <c r="AI49" s="30" t="str">
        <f t="shared" si="76"/>
        <v>ND</v>
      </c>
      <c r="AJ49" s="25"/>
      <c r="AK49" s="13" t="s">
        <v>8</v>
      </c>
      <c r="AL49" s="28" t="str">
        <f t="shared" si="77"/>
        <v>ND</v>
      </c>
      <c r="AM49" s="28" t="str">
        <f t="shared" si="78"/>
        <v>ND</v>
      </c>
      <c r="AN49" s="28" t="str">
        <f t="shared" si="79"/>
        <v>ND</v>
      </c>
      <c r="AO49" s="28" t="str">
        <f t="shared" si="80"/>
        <v>ND</v>
      </c>
      <c r="AP49" s="28" t="str">
        <f t="shared" si="81"/>
        <v>ND</v>
      </c>
      <c r="AQ49" s="28">
        <f t="shared" si="82"/>
        <v>88.15052307692308</v>
      </c>
      <c r="AR49" s="28" t="str">
        <f t="shared" si="83"/>
        <v>ND</v>
      </c>
      <c r="AS49" s="28" t="str">
        <f t="shared" si="84"/>
        <v>ND</v>
      </c>
      <c r="AT49" s="28" t="str">
        <f t="shared" si="85"/>
        <v>ND</v>
      </c>
      <c r="AU49" s="28" t="str">
        <f t="shared" si="86"/>
        <v>ND</v>
      </c>
      <c r="AV49" s="28" t="str">
        <f t="shared" si="87"/>
        <v>ND</v>
      </c>
      <c r="AW49" s="28" t="str">
        <f t="shared" si="88"/>
        <v>ND</v>
      </c>
      <c r="AX49" s="28" t="str">
        <f t="shared" si="89"/>
        <v>ND</v>
      </c>
      <c r="AY49" s="28" t="str">
        <f t="shared" si="90"/>
        <v>ND</v>
      </c>
      <c r="AZ49" s="28" t="str">
        <f t="shared" si="91"/>
        <v>ND</v>
      </c>
      <c r="BA49" s="28" t="str">
        <f t="shared" si="92"/>
        <v>ND</v>
      </c>
      <c r="BB49" s="30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5">
      <c r="A50" s="13" t="s">
        <v>9</v>
      </c>
      <c r="B50" s="17">
        <f>3+3.9</f>
        <v>6.9</v>
      </c>
      <c r="C50" s="23">
        <f>4.1+5.9</f>
        <v>10</v>
      </c>
      <c r="D50" s="23">
        <v>3</v>
      </c>
      <c r="E50" s="23">
        <v>0.7</v>
      </c>
      <c r="F50" s="23">
        <v>0.5</v>
      </c>
      <c r="G50" s="23">
        <v>60.4</v>
      </c>
      <c r="H50" s="23">
        <v>0.3</v>
      </c>
      <c r="I50" s="23">
        <v>0.3</v>
      </c>
      <c r="J50" s="23">
        <v>0.4</v>
      </c>
      <c r="K50" s="23">
        <v>0.9</v>
      </c>
      <c r="L50" s="23">
        <v>3.6</v>
      </c>
      <c r="M50" s="23">
        <v>2.4</v>
      </c>
      <c r="N50" s="23">
        <v>4.9</v>
      </c>
      <c r="O50" s="23">
        <v>3.5</v>
      </c>
      <c r="P50" s="23">
        <f>0.2+0.7</f>
        <v>0.8999999999999999</v>
      </c>
      <c r="Q50" s="23">
        <v>0.8</v>
      </c>
      <c r="R50" s="25"/>
      <c r="S50" s="17">
        <v>0</v>
      </c>
      <c r="T50" s="28">
        <f t="shared" si="61"/>
        <v>0.028451</v>
      </c>
      <c r="U50" s="30">
        <f t="shared" si="62"/>
        <v>0.04428400954653938</v>
      </c>
      <c r="V50" s="30">
        <f t="shared" si="63"/>
        <v>0.021606986899563318</v>
      </c>
      <c r="W50" s="30">
        <f t="shared" si="64"/>
        <v>0.003328251121076233</v>
      </c>
      <c r="X50" s="30">
        <f t="shared" si="65"/>
        <v>0.0023405865657521283</v>
      </c>
      <c r="Y50" s="30">
        <f t="shared" si="66"/>
        <v>0.766305641025641</v>
      </c>
      <c r="Z50" s="30">
        <f t="shared" si="67"/>
        <v>0.0013285202863961814</v>
      </c>
      <c r="AA50" s="30">
        <f t="shared" si="68"/>
        <v>0.0021481910274963817</v>
      </c>
      <c r="AB50" s="30">
        <f t="shared" si="69"/>
        <v>0.0017697764530551414</v>
      </c>
      <c r="AC50" s="30">
        <f t="shared" si="70"/>
        <v>0.00373381777529346</v>
      </c>
      <c r="AD50" s="30">
        <f t="shared" si="71"/>
        <v>0.01398910994764398</v>
      </c>
      <c r="AE50" s="30">
        <f t="shared" si="72"/>
        <v>0.010552606635071089</v>
      </c>
      <c r="AF50" s="30">
        <f t="shared" si="73"/>
        <v>0.021424329896907218</v>
      </c>
      <c r="AG50" s="30">
        <f t="shared" si="74"/>
        <v>0.016493333333333332</v>
      </c>
      <c r="AH50" s="30">
        <f t="shared" si="75"/>
        <v>0.003998683029033223</v>
      </c>
      <c r="AI50" s="30">
        <f t="shared" si="76"/>
        <v>0.0038480881399870375</v>
      </c>
      <c r="AJ50" s="25"/>
      <c r="AK50" s="13" t="s">
        <v>9</v>
      </c>
      <c r="AL50" s="28">
        <f t="shared" si="77"/>
        <v>5.12118</v>
      </c>
      <c r="AM50" s="28">
        <f t="shared" si="78"/>
        <v>7.971121718377089</v>
      </c>
      <c r="AN50" s="28">
        <f t="shared" si="79"/>
        <v>3.8892576419213976</v>
      </c>
      <c r="AO50" s="28">
        <f t="shared" si="80"/>
        <v>0.599085201793722</v>
      </c>
      <c r="AP50" s="28">
        <f t="shared" si="81"/>
        <v>0.4213055818353831</v>
      </c>
      <c r="AQ50" s="28">
        <f t="shared" si="82"/>
        <v>137.93501538461538</v>
      </c>
      <c r="AR50" s="28">
        <f t="shared" si="83"/>
        <v>0.23913365155131264</v>
      </c>
      <c r="AS50" s="28">
        <f t="shared" si="84"/>
        <v>0.38667438494934875</v>
      </c>
      <c r="AT50" s="28">
        <f t="shared" si="85"/>
        <v>0.31855976154992544</v>
      </c>
      <c r="AU50" s="28">
        <f t="shared" si="86"/>
        <v>0.6720871995528228</v>
      </c>
      <c r="AV50" s="28">
        <f t="shared" si="87"/>
        <v>2.5180397905759166</v>
      </c>
      <c r="AW50" s="28">
        <f t="shared" si="88"/>
        <v>1.8994691943127961</v>
      </c>
      <c r="AX50" s="28">
        <f t="shared" si="89"/>
        <v>3.856379381443299</v>
      </c>
      <c r="AY50" s="28">
        <f t="shared" si="90"/>
        <v>2.9688</v>
      </c>
      <c r="AZ50" s="28">
        <f t="shared" si="91"/>
        <v>0.7197629452259802</v>
      </c>
      <c r="BA50" s="28">
        <f t="shared" si="92"/>
        <v>0.6926558651976668</v>
      </c>
      <c r="BB50" s="30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5">
      <c r="A51" s="13" t="s">
        <v>10</v>
      </c>
      <c r="B51" s="17">
        <f>79.7+65.2</f>
        <v>144.9</v>
      </c>
      <c r="C51" s="23">
        <f>347.2+218.4</f>
        <v>565.6</v>
      </c>
      <c r="D51" s="23">
        <f>58.9+52.8</f>
        <v>111.69999999999999</v>
      </c>
      <c r="E51" s="23">
        <v>54.2</v>
      </c>
      <c r="F51" s="23">
        <v>47.5</v>
      </c>
      <c r="G51" s="23">
        <v>421.9</v>
      </c>
      <c r="H51" s="23">
        <v>70.9</v>
      </c>
      <c r="I51" s="23">
        <v>59.8</v>
      </c>
      <c r="J51" s="23">
        <v>172.7</v>
      </c>
      <c r="K51" s="23">
        <v>28.1</v>
      </c>
      <c r="L51" s="23">
        <v>231.3</v>
      </c>
      <c r="M51" s="23">
        <v>58.8</v>
      </c>
      <c r="N51" s="23">
        <v>191.5</v>
      </c>
      <c r="O51" s="23">
        <v>214.5</v>
      </c>
      <c r="P51" s="23">
        <f>73.7+277.5</f>
        <v>351.2</v>
      </c>
      <c r="Q51" s="23">
        <v>312.9</v>
      </c>
      <c r="R51" s="25"/>
      <c r="S51" s="17">
        <v>0</v>
      </c>
      <c r="T51" s="28">
        <f t="shared" si="61"/>
        <v>0.597471</v>
      </c>
      <c r="U51" s="30">
        <f t="shared" si="62"/>
        <v>2.5047035799522672</v>
      </c>
      <c r="V51" s="30">
        <f t="shared" si="63"/>
        <v>0.8045001455604075</v>
      </c>
      <c r="W51" s="30">
        <f t="shared" si="64"/>
        <v>0.25770172966047405</v>
      </c>
      <c r="X51" s="30">
        <f t="shared" si="65"/>
        <v>0.2223557237464522</v>
      </c>
      <c r="Y51" s="30">
        <f t="shared" si="66"/>
        <v>5.352721025641025</v>
      </c>
      <c r="Z51" s="30">
        <f t="shared" si="67"/>
        <v>0.31397362768496423</v>
      </c>
      <c r="AA51" s="30">
        <f t="shared" si="68"/>
        <v>0.4282060781476121</v>
      </c>
      <c r="AB51" s="30">
        <f t="shared" si="69"/>
        <v>0.7641009836065572</v>
      </c>
      <c r="AC51" s="30">
        <f t="shared" si="70"/>
        <v>0.11657808831749582</v>
      </c>
      <c r="AD51" s="30">
        <f t="shared" si="71"/>
        <v>0.8988003141361257</v>
      </c>
      <c r="AE51" s="30">
        <f t="shared" si="72"/>
        <v>0.2585388625592417</v>
      </c>
      <c r="AF51" s="30">
        <f t="shared" si="73"/>
        <v>0.8372977908689248</v>
      </c>
      <c r="AG51" s="30">
        <f t="shared" si="74"/>
        <v>1.0108057142857143</v>
      </c>
      <c r="AH51" s="30">
        <f t="shared" si="75"/>
        <v>1.5603749775516311</v>
      </c>
      <c r="AI51" s="30">
        <f t="shared" si="76"/>
        <v>1.5050834737524301</v>
      </c>
      <c r="AJ51" s="25"/>
      <c r="AK51" s="13" t="s">
        <v>10</v>
      </c>
      <c r="AL51" s="28">
        <f t="shared" si="77"/>
        <v>107.54477999999999</v>
      </c>
      <c r="AM51" s="28">
        <f t="shared" si="78"/>
        <v>450.84664439140806</v>
      </c>
      <c r="AN51" s="28">
        <f t="shared" si="79"/>
        <v>144.81002620087335</v>
      </c>
      <c r="AO51" s="28">
        <f t="shared" si="80"/>
        <v>46.38631133888533</v>
      </c>
      <c r="AP51" s="28">
        <f t="shared" si="81"/>
        <v>40.0240302743614</v>
      </c>
      <c r="AQ51" s="28">
        <f t="shared" si="82"/>
        <v>963.4897846153846</v>
      </c>
      <c r="AR51" s="28">
        <f t="shared" si="83"/>
        <v>56.515252983293564</v>
      </c>
      <c r="AS51" s="28">
        <f t="shared" si="84"/>
        <v>77.07709406657018</v>
      </c>
      <c r="AT51" s="28">
        <f t="shared" si="85"/>
        <v>137.5381770491803</v>
      </c>
      <c r="AU51" s="28">
        <f t="shared" si="86"/>
        <v>20.98405589714925</v>
      </c>
      <c r="AV51" s="28">
        <f t="shared" si="87"/>
        <v>161.78405654450265</v>
      </c>
      <c r="AW51" s="28">
        <f t="shared" si="88"/>
        <v>46.53699526066351</v>
      </c>
      <c r="AX51" s="28">
        <f t="shared" si="89"/>
        <v>150.71360235640648</v>
      </c>
      <c r="AY51" s="28">
        <f t="shared" si="90"/>
        <v>181.9450285714286</v>
      </c>
      <c r="AZ51" s="28">
        <f t="shared" si="91"/>
        <v>280.86749595929365</v>
      </c>
      <c r="BA51" s="28">
        <f t="shared" si="92"/>
        <v>270.9150252754374</v>
      </c>
      <c r="BB51" s="30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5">
      <c r="A52" s="13" t="s">
        <v>11</v>
      </c>
      <c r="B52" s="17">
        <f>15.2+22.2</f>
        <v>37.4</v>
      </c>
      <c r="C52" s="23">
        <f>78.5+48.3</f>
        <v>126.8</v>
      </c>
      <c r="D52" s="23">
        <f>99.3+28.3</f>
        <v>127.6</v>
      </c>
      <c r="E52" s="23">
        <v>5.2</v>
      </c>
      <c r="F52" s="23">
        <v>35</v>
      </c>
      <c r="G52" s="23">
        <v>63.4</v>
      </c>
      <c r="H52" s="23">
        <v>18.4</v>
      </c>
      <c r="I52" s="23">
        <v>12.3</v>
      </c>
      <c r="J52" s="23">
        <v>13.9</v>
      </c>
      <c r="K52" s="23">
        <v>4.7</v>
      </c>
      <c r="L52" s="23">
        <v>19.2</v>
      </c>
      <c r="M52" s="23">
        <v>6.8</v>
      </c>
      <c r="N52" s="23">
        <v>17.8</v>
      </c>
      <c r="O52" s="23">
        <v>19</v>
      </c>
      <c r="P52" s="23">
        <f>5.9+13</f>
        <v>18.9</v>
      </c>
      <c r="Q52" s="23">
        <v>19.3</v>
      </c>
      <c r="R52" s="25"/>
      <c r="S52" s="17">
        <v>9.4</v>
      </c>
      <c r="T52" s="28">
        <f t="shared" si="61"/>
        <v>0.11545333333333332</v>
      </c>
      <c r="U52" s="30">
        <f t="shared" si="62"/>
        <v>0.5198942720763723</v>
      </c>
      <c r="V52" s="30">
        <f t="shared" si="63"/>
        <v>0.8513152838427948</v>
      </c>
      <c r="W52" s="30" t="str">
        <f t="shared" si="64"/>
        <v>ND</v>
      </c>
      <c r="X52" s="30">
        <f t="shared" si="65"/>
        <v>0.11983803216650897</v>
      </c>
      <c r="Y52" s="30">
        <f t="shared" si="66"/>
        <v>0.6851076923076923</v>
      </c>
      <c r="Z52" s="30">
        <f t="shared" si="67"/>
        <v>0.03985560859188543</v>
      </c>
      <c r="AA52" s="30">
        <f t="shared" si="68"/>
        <v>0.020765846599131693</v>
      </c>
      <c r="AB52" s="30">
        <f t="shared" si="69"/>
        <v>0.019909985096870343</v>
      </c>
      <c r="AC52" s="30" t="str">
        <f t="shared" si="70"/>
        <v>ND</v>
      </c>
      <c r="AD52" s="30">
        <f t="shared" si="71"/>
        <v>0.03808146596858638</v>
      </c>
      <c r="AE52" s="30" t="str">
        <f t="shared" si="72"/>
        <v>ND</v>
      </c>
      <c r="AF52" s="30">
        <f t="shared" si="73"/>
        <v>0.03672742268041237</v>
      </c>
      <c r="AG52" s="30">
        <f t="shared" si="74"/>
        <v>0.04523885714285714</v>
      </c>
      <c r="AH52" s="30">
        <f t="shared" si="75"/>
        <v>0.04220832086201735</v>
      </c>
      <c r="AI52" s="30">
        <f t="shared" si="76"/>
        <v>0.047620090732339596</v>
      </c>
      <c r="AJ52" s="25"/>
      <c r="AK52" s="13" t="s">
        <v>11</v>
      </c>
      <c r="AL52" s="28">
        <f t="shared" si="77"/>
        <v>20.781599999999997</v>
      </c>
      <c r="AM52" s="28">
        <f t="shared" si="78"/>
        <v>93.58096897374702</v>
      </c>
      <c r="AN52" s="28">
        <f t="shared" si="79"/>
        <v>153.23675109170307</v>
      </c>
      <c r="AO52" s="28" t="str">
        <f t="shared" si="80"/>
        <v>ND</v>
      </c>
      <c r="AP52" s="28">
        <f t="shared" si="81"/>
        <v>21.570845789971617</v>
      </c>
      <c r="AQ52" s="28">
        <f t="shared" si="82"/>
        <v>123.31938461538462</v>
      </c>
      <c r="AR52" s="28">
        <f t="shared" si="83"/>
        <v>7.174009546539378</v>
      </c>
      <c r="AS52" s="28">
        <f t="shared" si="84"/>
        <v>3.737852387843705</v>
      </c>
      <c r="AT52" s="28">
        <f t="shared" si="85"/>
        <v>3.5837973174366615</v>
      </c>
      <c r="AU52" s="28" t="str">
        <f t="shared" si="86"/>
        <v>ND</v>
      </c>
      <c r="AV52" s="28">
        <f t="shared" si="87"/>
        <v>6.854663874345548</v>
      </c>
      <c r="AW52" s="28" t="str">
        <f t="shared" si="88"/>
        <v>ND</v>
      </c>
      <c r="AX52" s="28">
        <f t="shared" si="89"/>
        <v>6.610936082474226</v>
      </c>
      <c r="AY52" s="28">
        <f t="shared" si="90"/>
        <v>8.142994285714286</v>
      </c>
      <c r="AZ52" s="28">
        <f t="shared" si="91"/>
        <v>7.597497755163123</v>
      </c>
      <c r="BA52" s="28">
        <f t="shared" si="92"/>
        <v>8.571616331821128</v>
      </c>
      <c r="BB52" s="30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5">
      <c r="A53" s="13" t="s">
        <v>12</v>
      </c>
      <c r="B53" s="17">
        <f>1085+4399</f>
        <v>5484</v>
      </c>
      <c r="C53" s="23">
        <f>2366+2273</f>
        <v>4639</v>
      </c>
      <c r="D53" s="23">
        <v>1618</v>
      </c>
      <c r="E53" s="23">
        <f>289+185</f>
        <v>474</v>
      </c>
      <c r="F53" s="23">
        <v>224</v>
      </c>
      <c r="G53" s="23">
        <v>1231</v>
      </c>
      <c r="H53" s="23">
        <v>1606</v>
      </c>
      <c r="I53" s="23">
        <v>360</v>
      </c>
      <c r="J53" s="23">
        <v>545</v>
      </c>
      <c r="K53" s="23">
        <v>236</v>
      </c>
      <c r="L53" s="25"/>
      <c r="M53" s="23">
        <v>298</v>
      </c>
      <c r="N53" s="23">
        <v>1442</v>
      </c>
      <c r="O53" s="23">
        <v>1215</v>
      </c>
      <c r="P53" s="23">
        <f>631+2039</f>
        <v>2670</v>
      </c>
      <c r="Q53" s="23">
        <v>1710</v>
      </c>
      <c r="R53" s="25"/>
      <c r="S53" s="17">
        <v>445</v>
      </c>
      <c r="T53" s="28">
        <f t="shared" si="61"/>
        <v>20.777476666666665</v>
      </c>
      <c r="U53" s="30">
        <f t="shared" si="62"/>
        <v>18.572713603818617</v>
      </c>
      <c r="V53" s="30">
        <f t="shared" si="63"/>
        <v>8.448331877729258</v>
      </c>
      <c r="W53" s="30">
        <f t="shared" si="64"/>
        <v>0.13788468930172965</v>
      </c>
      <c r="X53" s="30" t="str">
        <f t="shared" si="65"/>
        <v>ND</v>
      </c>
      <c r="Y53" s="30">
        <f t="shared" si="66"/>
        <v>9.972123076923076</v>
      </c>
      <c r="Z53" s="30">
        <f t="shared" si="67"/>
        <v>5.1413735083532215</v>
      </c>
      <c r="AA53" s="30" t="str">
        <f t="shared" si="68"/>
        <v>ND</v>
      </c>
      <c r="AB53" s="30">
        <f t="shared" si="69"/>
        <v>0.4424441132637854</v>
      </c>
      <c r="AC53" s="30" t="str">
        <f t="shared" si="70"/>
        <v>ND</v>
      </c>
      <c r="AD53" s="30" t="str">
        <f t="shared" si="71"/>
        <v>ND</v>
      </c>
      <c r="AE53" s="30" t="str">
        <f t="shared" si="72"/>
        <v>ND</v>
      </c>
      <c r="AF53" s="30">
        <f t="shared" si="73"/>
        <v>4.359195287187039</v>
      </c>
      <c r="AG53" s="30">
        <f t="shared" si="74"/>
        <v>3.6285333333333334</v>
      </c>
      <c r="AH53" s="30">
        <f t="shared" si="75"/>
        <v>9.885633043998801</v>
      </c>
      <c r="AI53" s="30">
        <f t="shared" si="76"/>
        <v>6.084789371354503</v>
      </c>
      <c r="AJ53" s="25"/>
      <c r="AK53" s="13" t="s">
        <v>12</v>
      </c>
      <c r="AL53" s="28">
        <f t="shared" si="77"/>
        <v>3739.9458</v>
      </c>
      <c r="AM53" s="28">
        <f t="shared" si="78"/>
        <v>3343.088448687351</v>
      </c>
      <c r="AN53" s="28">
        <f t="shared" si="79"/>
        <v>1520.6997379912664</v>
      </c>
      <c r="AO53" s="28">
        <f t="shared" si="80"/>
        <v>24.819244074311335</v>
      </c>
      <c r="AP53" s="28" t="str">
        <f t="shared" si="81"/>
        <v>ND</v>
      </c>
      <c r="AQ53" s="28">
        <f t="shared" si="82"/>
        <v>1794.9821538461538</v>
      </c>
      <c r="AR53" s="28">
        <f t="shared" si="83"/>
        <v>925.4472315035799</v>
      </c>
      <c r="AS53" s="28" t="str">
        <f t="shared" si="84"/>
        <v>ND</v>
      </c>
      <c r="AT53" s="28">
        <f t="shared" si="85"/>
        <v>79.63994038748139</v>
      </c>
      <c r="AU53" s="28" t="str">
        <f t="shared" si="86"/>
        <v>ND</v>
      </c>
      <c r="AV53" s="28" t="str">
        <f t="shared" si="87"/>
        <v>ND</v>
      </c>
      <c r="AW53" s="28" t="str">
        <f t="shared" si="88"/>
        <v>ND</v>
      </c>
      <c r="AX53" s="28">
        <f t="shared" si="89"/>
        <v>784.6551516936671</v>
      </c>
      <c r="AY53" s="28">
        <f t="shared" si="90"/>
        <v>653.1360000000001</v>
      </c>
      <c r="AZ53" s="28">
        <f t="shared" si="91"/>
        <v>1779.4139479197843</v>
      </c>
      <c r="BA53" s="28">
        <f t="shared" si="92"/>
        <v>1095.2620868438107</v>
      </c>
      <c r="BB53" s="30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5">
      <c r="A54" s="13" t="s">
        <v>13</v>
      </c>
      <c r="B54" s="18"/>
      <c r="C54" s="25"/>
      <c r="D54" s="25"/>
      <c r="E54" s="25"/>
      <c r="F54" s="25"/>
      <c r="G54" s="25"/>
      <c r="H54" s="23">
        <v>18.3</v>
      </c>
      <c r="I54" s="23">
        <v>99.5</v>
      </c>
      <c r="J54" s="25"/>
      <c r="K54" s="25"/>
      <c r="L54" s="23">
        <v>6.7</v>
      </c>
      <c r="M54" s="25"/>
      <c r="N54" s="25"/>
      <c r="O54" s="25"/>
      <c r="P54" s="25"/>
      <c r="Q54" s="25"/>
      <c r="R54" s="25"/>
      <c r="S54" s="17">
        <v>0</v>
      </c>
      <c r="T54" s="28" t="str">
        <f t="shared" si="61"/>
        <v>ND</v>
      </c>
      <c r="U54" s="30" t="str">
        <f t="shared" si="62"/>
        <v>ND</v>
      </c>
      <c r="V54" s="30" t="str">
        <f t="shared" si="63"/>
        <v>ND</v>
      </c>
      <c r="W54" s="30" t="str">
        <f t="shared" si="64"/>
        <v>ND</v>
      </c>
      <c r="X54" s="30" t="str">
        <f t="shared" si="65"/>
        <v>ND</v>
      </c>
      <c r="Y54" s="30" t="str">
        <f t="shared" si="66"/>
        <v>ND</v>
      </c>
      <c r="Z54" s="30">
        <f t="shared" si="67"/>
        <v>0.08103973747016707</v>
      </c>
      <c r="AA54" s="30">
        <f t="shared" si="68"/>
        <v>0.7124833574529666</v>
      </c>
      <c r="AB54" s="30" t="str">
        <f t="shared" si="69"/>
        <v>ND</v>
      </c>
      <c r="AC54" s="30" t="str">
        <f t="shared" si="70"/>
        <v>ND</v>
      </c>
      <c r="AD54" s="30">
        <f t="shared" si="71"/>
        <v>0.02603528795811518</v>
      </c>
      <c r="AE54" s="30" t="str">
        <f t="shared" si="72"/>
        <v>ND</v>
      </c>
      <c r="AF54" s="30" t="str">
        <f t="shared" si="73"/>
        <v>ND</v>
      </c>
      <c r="AG54" s="30" t="str">
        <f t="shared" si="74"/>
        <v>ND</v>
      </c>
      <c r="AH54" s="30" t="str">
        <f t="shared" si="75"/>
        <v>ND</v>
      </c>
      <c r="AI54" s="30" t="str">
        <f t="shared" si="76"/>
        <v>ND</v>
      </c>
      <c r="AJ54" s="25"/>
      <c r="AK54" s="13" t="s">
        <v>13</v>
      </c>
      <c r="AL54" s="28" t="str">
        <f t="shared" si="77"/>
        <v>ND</v>
      </c>
      <c r="AM54" s="28" t="str">
        <f t="shared" si="78"/>
        <v>ND</v>
      </c>
      <c r="AN54" s="28" t="str">
        <f t="shared" si="79"/>
        <v>ND</v>
      </c>
      <c r="AO54" s="28" t="str">
        <f t="shared" si="80"/>
        <v>ND</v>
      </c>
      <c r="AP54" s="28" t="str">
        <f t="shared" si="81"/>
        <v>ND</v>
      </c>
      <c r="AQ54" s="28" t="str">
        <f t="shared" si="82"/>
        <v>ND</v>
      </c>
      <c r="AR54" s="28">
        <f t="shared" si="83"/>
        <v>14.587152744630073</v>
      </c>
      <c r="AS54" s="28">
        <f t="shared" si="84"/>
        <v>128.247004341534</v>
      </c>
      <c r="AT54" s="28" t="str">
        <f t="shared" si="85"/>
        <v>ND</v>
      </c>
      <c r="AU54" s="28" t="str">
        <f t="shared" si="86"/>
        <v>ND</v>
      </c>
      <c r="AV54" s="28">
        <f t="shared" si="87"/>
        <v>4.6863518324607325</v>
      </c>
      <c r="AW54" s="28" t="str">
        <f t="shared" si="88"/>
        <v>ND</v>
      </c>
      <c r="AX54" s="28" t="str">
        <f t="shared" si="89"/>
        <v>ND</v>
      </c>
      <c r="AY54" s="28" t="str">
        <f t="shared" si="90"/>
        <v>ND</v>
      </c>
      <c r="AZ54" s="28" t="str">
        <f t="shared" si="91"/>
        <v>ND</v>
      </c>
      <c r="BA54" s="28" t="str">
        <f t="shared" si="92"/>
        <v>ND</v>
      </c>
      <c r="BB54" s="30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5">
      <c r="A55" s="13" t="s">
        <v>14</v>
      </c>
      <c r="B55" s="17">
        <f>65.1+234.4</f>
        <v>299.5</v>
      </c>
      <c r="C55" s="23">
        <v>73.8</v>
      </c>
      <c r="D55" s="23">
        <f>17.1+41.8</f>
        <v>58.9</v>
      </c>
      <c r="E55" s="25"/>
      <c r="F55" s="25"/>
      <c r="G55" s="25"/>
      <c r="H55" s="25"/>
      <c r="I55" s="25"/>
      <c r="J55" s="25"/>
      <c r="K55" s="25"/>
      <c r="L55" s="25"/>
      <c r="M55" s="25"/>
      <c r="N55" s="23">
        <v>427</v>
      </c>
      <c r="O55" s="23">
        <v>400</v>
      </c>
      <c r="P55" s="23">
        <f>90+288</f>
        <v>378</v>
      </c>
      <c r="Q55" s="23">
        <v>279</v>
      </c>
      <c r="R55" s="25"/>
      <c r="S55" s="17">
        <v>0</v>
      </c>
      <c r="T55" s="28">
        <f t="shared" si="61"/>
        <v>1.2349383333333332</v>
      </c>
      <c r="U55" s="30">
        <f t="shared" si="62"/>
        <v>0.3268159904534606</v>
      </c>
      <c r="V55" s="30">
        <f t="shared" si="63"/>
        <v>0.4242171761280931</v>
      </c>
      <c r="W55" s="30" t="str">
        <f t="shared" si="64"/>
        <v>ND</v>
      </c>
      <c r="X55" s="30" t="str">
        <f t="shared" si="65"/>
        <v>ND</v>
      </c>
      <c r="Y55" s="30" t="str">
        <f t="shared" si="66"/>
        <v>ND</v>
      </c>
      <c r="Z55" s="30" t="str">
        <f t="shared" si="67"/>
        <v>ND</v>
      </c>
      <c r="AA55" s="30" t="str">
        <f t="shared" si="68"/>
        <v>ND</v>
      </c>
      <c r="AB55" s="30" t="str">
        <f t="shared" si="69"/>
        <v>ND</v>
      </c>
      <c r="AC55" s="30" t="str">
        <f t="shared" si="70"/>
        <v>ND</v>
      </c>
      <c r="AD55" s="30" t="str">
        <f t="shared" si="71"/>
        <v>ND</v>
      </c>
      <c r="AE55" s="30" t="str">
        <f t="shared" si="72"/>
        <v>ND</v>
      </c>
      <c r="AF55" s="30">
        <f t="shared" si="73"/>
        <v>1.866977319587629</v>
      </c>
      <c r="AG55" s="30">
        <f t="shared" si="74"/>
        <v>1.884952380952381</v>
      </c>
      <c r="AH55" s="30">
        <f t="shared" si="75"/>
        <v>1.679446872193954</v>
      </c>
      <c r="AI55" s="30">
        <f t="shared" si="76"/>
        <v>1.3420207388204795</v>
      </c>
      <c r="AJ55" s="25"/>
      <c r="AK55" s="13" t="s">
        <v>95</v>
      </c>
      <c r="AL55" s="28">
        <f t="shared" si="77"/>
        <v>222.28889999999998</v>
      </c>
      <c r="AM55" s="28">
        <f t="shared" si="78"/>
        <v>58.8268782816229</v>
      </c>
      <c r="AN55" s="28">
        <f t="shared" si="79"/>
        <v>76.35909170305676</v>
      </c>
      <c r="AO55" s="28" t="str">
        <f t="shared" si="80"/>
        <v>ND</v>
      </c>
      <c r="AP55" s="28" t="str">
        <f t="shared" si="81"/>
        <v>ND</v>
      </c>
      <c r="AQ55" s="28" t="str">
        <f t="shared" si="82"/>
        <v>ND</v>
      </c>
      <c r="AR55" s="28" t="str">
        <f t="shared" si="83"/>
        <v>ND</v>
      </c>
      <c r="AS55" s="28" t="str">
        <f t="shared" si="84"/>
        <v>ND</v>
      </c>
      <c r="AT55" s="28" t="str">
        <f t="shared" si="85"/>
        <v>ND</v>
      </c>
      <c r="AU55" s="28" t="str">
        <f t="shared" si="86"/>
        <v>ND</v>
      </c>
      <c r="AV55" s="28" t="str">
        <f t="shared" si="87"/>
        <v>ND</v>
      </c>
      <c r="AW55" s="28" t="str">
        <f t="shared" si="88"/>
        <v>ND</v>
      </c>
      <c r="AX55" s="28">
        <f t="shared" si="89"/>
        <v>336.0559175257732</v>
      </c>
      <c r="AY55" s="28">
        <f t="shared" si="90"/>
        <v>339.2914285714286</v>
      </c>
      <c r="AZ55" s="28">
        <f t="shared" si="91"/>
        <v>302.3004369949117</v>
      </c>
      <c r="BA55" s="28">
        <f t="shared" si="92"/>
        <v>241.56373298768628</v>
      </c>
      <c r="BB55" s="30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5">
      <c r="A56" s="13" t="s">
        <v>15</v>
      </c>
      <c r="B56" s="18"/>
      <c r="C56" s="23">
        <v>58.5</v>
      </c>
      <c r="D56" s="23">
        <v>17.4</v>
      </c>
      <c r="E56" s="25"/>
      <c r="F56" s="25"/>
      <c r="G56" s="25"/>
      <c r="H56" s="23">
        <v>16</v>
      </c>
      <c r="I56" s="25"/>
      <c r="J56" s="23">
        <v>26.9</v>
      </c>
      <c r="K56" s="25"/>
      <c r="L56" s="25"/>
      <c r="M56" s="25"/>
      <c r="N56" s="25"/>
      <c r="O56" s="25"/>
      <c r="P56" s="23">
        <v>40</v>
      </c>
      <c r="Q56" s="23">
        <v>38.6</v>
      </c>
      <c r="R56" s="25"/>
      <c r="S56" s="17">
        <v>0</v>
      </c>
      <c r="T56" s="28" t="str">
        <f t="shared" si="61"/>
        <v>ND</v>
      </c>
      <c r="U56" s="30">
        <f t="shared" si="62"/>
        <v>0.2590614558472554</v>
      </c>
      <c r="V56" s="30">
        <f t="shared" si="63"/>
        <v>0.12532052401746724</v>
      </c>
      <c r="W56" s="30" t="str">
        <f t="shared" si="64"/>
        <v>ND</v>
      </c>
      <c r="X56" s="30" t="str">
        <f t="shared" si="65"/>
        <v>ND</v>
      </c>
      <c r="Y56" s="30" t="str">
        <f t="shared" si="66"/>
        <v>ND</v>
      </c>
      <c r="Z56" s="30">
        <f t="shared" si="67"/>
        <v>0.07085441527446301</v>
      </c>
      <c r="AA56" s="30" t="str">
        <f t="shared" si="68"/>
        <v>ND</v>
      </c>
      <c r="AB56" s="30">
        <f t="shared" si="69"/>
        <v>0.11901746646795826</v>
      </c>
      <c r="AC56" s="30" t="str">
        <f t="shared" si="70"/>
        <v>ND</v>
      </c>
      <c r="AD56" s="30" t="str">
        <f t="shared" si="71"/>
        <v>ND</v>
      </c>
      <c r="AE56" s="30" t="str">
        <f t="shared" si="72"/>
        <v>ND</v>
      </c>
      <c r="AF56" s="30" t="str">
        <f t="shared" si="73"/>
        <v>ND</v>
      </c>
      <c r="AG56" s="30" t="str">
        <f t="shared" si="74"/>
        <v>ND</v>
      </c>
      <c r="AH56" s="30">
        <f t="shared" si="75"/>
        <v>0.1777192457348099</v>
      </c>
      <c r="AI56" s="30">
        <f t="shared" si="76"/>
        <v>0.18567025275437457</v>
      </c>
      <c r="AJ56" s="25"/>
      <c r="AK56" s="13" t="s">
        <v>15</v>
      </c>
      <c r="AL56" s="28" t="str">
        <f t="shared" si="77"/>
        <v>ND</v>
      </c>
      <c r="AM56" s="28">
        <f t="shared" si="78"/>
        <v>46.63106205250597</v>
      </c>
      <c r="AN56" s="28">
        <f t="shared" si="79"/>
        <v>22.557694323144105</v>
      </c>
      <c r="AO56" s="28" t="str">
        <f t="shared" si="80"/>
        <v>ND</v>
      </c>
      <c r="AP56" s="28" t="str">
        <f t="shared" si="81"/>
        <v>ND</v>
      </c>
      <c r="AQ56" s="28" t="str">
        <f t="shared" si="82"/>
        <v>ND</v>
      </c>
      <c r="AR56" s="28">
        <f t="shared" si="83"/>
        <v>12.753794749403342</v>
      </c>
      <c r="AS56" s="28" t="str">
        <f t="shared" si="84"/>
        <v>ND</v>
      </c>
      <c r="AT56" s="28">
        <f t="shared" si="85"/>
        <v>21.423143964232487</v>
      </c>
      <c r="AU56" s="28" t="str">
        <f t="shared" si="86"/>
        <v>ND</v>
      </c>
      <c r="AV56" s="28" t="str">
        <f t="shared" si="87"/>
        <v>ND</v>
      </c>
      <c r="AW56" s="28" t="str">
        <f t="shared" si="88"/>
        <v>ND</v>
      </c>
      <c r="AX56" s="28" t="str">
        <f t="shared" si="89"/>
        <v>ND</v>
      </c>
      <c r="AY56" s="28" t="str">
        <f t="shared" si="90"/>
        <v>ND</v>
      </c>
      <c r="AZ56" s="28">
        <f t="shared" si="91"/>
        <v>31.98946423226578</v>
      </c>
      <c r="BA56" s="28">
        <f t="shared" si="92"/>
        <v>33.420645495787426</v>
      </c>
      <c r="BB56" s="30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5">
      <c r="A57" s="13" t="s">
        <v>16</v>
      </c>
      <c r="B57" s="17">
        <f>21.8+48.8</f>
        <v>70.6</v>
      </c>
      <c r="C57" s="23">
        <f>18.1+78.6</f>
        <v>96.69999999999999</v>
      </c>
      <c r="D57" s="23">
        <f>11+25.4</f>
        <v>36.4</v>
      </c>
      <c r="E57" s="23">
        <v>7.9</v>
      </c>
      <c r="F57" s="23">
        <v>5.4</v>
      </c>
      <c r="G57" s="25"/>
      <c r="H57" s="23">
        <v>24.8</v>
      </c>
      <c r="I57" s="23">
        <v>21.6</v>
      </c>
      <c r="J57" s="23">
        <v>19.9</v>
      </c>
      <c r="K57" s="23">
        <v>16.7</v>
      </c>
      <c r="L57" s="25"/>
      <c r="M57" s="23">
        <v>22.1</v>
      </c>
      <c r="N57" s="23">
        <v>69.8</v>
      </c>
      <c r="O57" s="23">
        <v>28.8</v>
      </c>
      <c r="P57" s="23">
        <v>73.2</v>
      </c>
      <c r="Q57" s="23">
        <v>35.6</v>
      </c>
      <c r="R57" s="25"/>
      <c r="S57" s="17">
        <v>0</v>
      </c>
      <c r="T57" s="28">
        <f t="shared" si="61"/>
        <v>0.29110733333333333</v>
      </c>
      <c r="U57" s="30">
        <f t="shared" si="62"/>
        <v>0.42822637231503574</v>
      </c>
      <c r="V57" s="30">
        <f t="shared" si="63"/>
        <v>0.26216477438136826</v>
      </c>
      <c r="W57" s="30">
        <f t="shared" si="64"/>
        <v>0.03756169122357463</v>
      </c>
      <c r="X57" s="30">
        <f t="shared" si="65"/>
        <v>0.025278334910122987</v>
      </c>
      <c r="Y57" s="30" t="str">
        <f t="shared" si="66"/>
        <v>ND</v>
      </c>
      <c r="Z57" s="30">
        <f t="shared" si="67"/>
        <v>0.10982434367541766</v>
      </c>
      <c r="AA57" s="30">
        <f t="shared" si="68"/>
        <v>0.1546697539797395</v>
      </c>
      <c r="AB57" s="30">
        <f t="shared" si="69"/>
        <v>0.08804637853949329</v>
      </c>
      <c r="AC57" s="30">
        <f t="shared" si="70"/>
        <v>0.06928306316377864</v>
      </c>
      <c r="AD57" s="30" t="str">
        <f t="shared" si="71"/>
        <v>ND</v>
      </c>
      <c r="AE57" s="30">
        <f t="shared" si="72"/>
        <v>0.0971719194312796</v>
      </c>
      <c r="AF57" s="30">
        <f t="shared" si="73"/>
        <v>0.30518739322533134</v>
      </c>
      <c r="AG57" s="30">
        <f t="shared" si="74"/>
        <v>0.13571657142857144</v>
      </c>
      <c r="AH57" s="30">
        <f t="shared" si="75"/>
        <v>0.32522621969470217</v>
      </c>
      <c r="AI57" s="30">
        <f t="shared" si="76"/>
        <v>0.1712399222294232</v>
      </c>
      <c r="AJ57" s="25"/>
      <c r="AK57" s="13" t="s">
        <v>16</v>
      </c>
      <c r="AL57" s="28">
        <f t="shared" si="77"/>
        <v>52.399319999999996</v>
      </c>
      <c r="AM57" s="28">
        <f t="shared" si="78"/>
        <v>77.08074701670644</v>
      </c>
      <c r="AN57" s="28">
        <f t="shared" si="79"/>
        <v>47.18965938864629</v>
      </c>
      <c r="AO57" s="28">
        <f t="shared" si="80"/>
        <v>6.761104420243434</v>
      </c>
      <c r="AP57" s="28">
        <f t="shared" si="81"/>
        <v>4.550100283822138</v>
      </c>
      <c r="AQ57" s="28" t="str">
        <f t="shared" si="82"/>
        <v>ND</v>
      </c>
      <c r="AR57" s="28">
        <f t="shared" si="83"/>
        <v>19.768381861575183</v>
      </c>
      <c r="AS57" s="28">
        <f t="shared" si="84"/>
        <v>27.840555716353112</v>
      </c>
      <c r="AT57" s="28">
        <f t="shared" si="85"/>
        <v>15.848348137108795</v>
      </c>
      <c r="AU57" s="28">
        <f t="shared" si="86"/>
        <v>12.470951369480154</v>
      </c>
      <c r="AV57" s="28" t="str">
        <f t="shared" si="87"/>
        <v>ND</v>
      </c>
      <c r="AW57" s="28">
        <f t="shared" si="88"/>
        <v>17.49094549763033</v>
      </c>
      <c r="AX57" s="28">
        <f t="shared" si="89"/>
        <v>54.93373078055964</v>
      </c>
      <c r="AY57" s="28">
        <f t="shared" si="90"/>
        <v>24.42898285714286</v>
      </c>
      <c r="AZ57" s="28">
        <f t="shared" si="91"/>
        <v>58.5407195450464</v>
      </c>
      <c r="BA57" s="28">
        <f t="shared" si="92"/>
        <v>30.823186001296172</v>
      </c>
      <c r="BB57" s="30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5">
      <c r="A58" s="13" t="s">
        <v>17</v>
      </c>
      <c r="B58" s="18"/>
      <c r="C58" s="23">
        <f>27.4+64.6</f>
        <v>92</v>
      </c>
      <c r="D58" s="23">
        <v>40.1</v>
      </c>
      <c r="E58" s="23">
        <v>13.1</v>
      </c>
      <c r="F58" s="23">
        <v>21.1</v>
      </c>
      <c r="G58" s="25"/>
      <c r="H58" s="23">
        <v>56</v>
      </c>
      <c r="I58" s="23">
        <v>38.4</v>
      </c>
      <c r="J58" s="25"/>
      <c r="K58" s="25"/>
      <c r="L58" s="23">
        <v>33.2</v>
      </c>
      <c r="M58" s="25"/>
      <c r="N58" s="23">
        <v>17.6</v>
      </c>
      <c r="O58" s="23">
        <v>45.7</v>
      </c>
      <c r="P58" s="23">
        <v>44.9</v>
      </c>
      <c r="Q58" s="23">
        <v>65.5</v>
      </c>
      <c r="R58" s="25"/>
      <c r="S58" s="17">
        <v>0</v>
      </c>
      <c r="T58" s="28" t="str">
        <f t="shared" si="61"/>
        <v>ND</v>
      </c>
      <c r="U58" s="30">
        <f t="shared" si="62"/>
        <v>0.40741288782816226</v>
      </c>
      <c r="V58" s="30">
        <f t="shared" si="63"/>
        <v>0.28881339155749636</v>
      </c>
      <c r="W58" s="30">
        <f t="shared" si="64"/>
        <v>0.06228584240871236</v>
      </c>
      <c r="X58" s="30">
        <f t="shared" si="65"/>
        <v>0.09877275307473983</v>
      </c>
      <c r="Y58" s="30" t="str">
        <f t="shared" si="66"/>
        <v>ND</v>
      </c>
      <c r="Z58" s="30">
        <f t="shared" si="67"/>
        <v>0.2479904534606205</v>
      </c>
      <c r="AA58" s="30">
        <f t="shared" si="68"/>
        <v>0.27496845151953686</v>
      </c>
      <c r="AB58" s="30" t="str">
        <f t="shared" si="69"/>
        <v>ND</v>
      </c>
      <c r="AC58" s="30" t="str">
        <f t="shared" si="70"/>
        <v>ND</v>
      </c>
      <c r="AD58" s="30">
        <f t="shared" si="71"/>
        <v>0.12901068062827226</v>
      </c>
      <c r="AE58" s="30" t="str">
        <f t="shared" si="72"/>
        <v>ND</v>
      </c>
      <c r="AF58" s="30">
        <f t="shared" si="73"/>
        <v>0.07695269513991164</v>
      </c>
      <c r="AG58" s="30">
        <f t="shared" si="74"/>
        <v>0.21535580952380953</v>
      </c>
      <c r="AH58" s="30">
        <f t="shared" si="75"/>
        <v>0.19948985333732414</v>
      </c>
      <c r="AI58" s="30">
        <f t="shared" si="76"/>
        <v>0.3150622164614387</v>
      </c>
      <c r="AJ58" s="25"/>
      <c r="AK58" s="13" t="s">
        <v>17</v>
      </c>
      <c r="AL58" s="28" t="str">
        <f t="shared" si="77"/>
        <v>ND</v>
      </c>
      <c r="AM58" s="28">
        <f t="shared" si="78"/>
        <v>73.33431980906921</v>
      </c>
      <c r="AN58" s="28">
        <f t="shared" si="79"/>
        <v>51.98641048034935</v>
      </c>
      <c r="AO58" s="28">
        <f t="shared" si="80"/>
        <v>11.211451633568224</v>
      </c>
      <c r="AP58" s="28">
        <f t="shared" si="81"/>
        <v>17.77909555345317</v>
      </c>
      <c r="AQ58" s="28" t="str">
        <f t="shared" si="82"/>
        <v>ND</v>
      </c>
      <c r="AR58" s="28">
        <f t="shared" si="83"/>
        <v>44.6382816229117</v>
      </c>
      <c r="AS58" s="28">
        <f t="shared" si="84"/>
        <v>49.49432127351664</v>
      </c>
      <c r="AT58" s="28" t="str">
        <f t="shared" si="85"/>
        <v>ND</v>
      </c>
      <c r="AU58" s="28" t="str">
        <f t="shared" si="86"/>
        <v>ND</v>
      </c>
      <c r="AV58" s="28">
        <f t="shared" si="87"/>
        <v>23.221922513089005</v>
      </c>
      <c r="AW58" s="28" t="str">
        <f t="shared" si="88"/>
        <v>ND</v>
      </c>
      <c r="AX58" s="28">
        <f t="shared" si="89"/>
        <v>13.851485125184096</v>
      </c>
      <c r="AY58" s="28">
        <f t="shared" si="90"/>
        <v>38.764045714285714</v>
      </c>
      <c r="AZ58" s="28">
        <f t="shared" si="91"/>
        <v>35.90817360071835</v>
      </c>
      <c r="BA58" s="28">
        <f t="shared" si="92"/>
        <v>56.711198963058976</v>
      </c>
      <c r="BB58" s="30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15">
      <c r="A59" s="13" t="s">
        <v>18</v>
      </c>
      <c r="B59" s="17">
        <f>25.9+33.6</f>
        <v>59.5</v>
      </c>
      <c r="C59" s="23">
        <f>20.7+50.5</f>
        <v>71.2</v>
      </c>
      <c r="D59" s="23">
        <f>14.5+16.6</f>
        <v>31.1</v>
      </c>
      <c r="E59" s="23">
        <v>8.8</v>
      </c>
      <c r="F59" s="23">
        <v>4.5</v>
      </c>
      <c r="G59" s="23">
        <v>28.4</v>
      </c>
      <c r="H59" s="23">
        <v>16</v>
      </c>
      <c r="I59" s="23">
        <v>4.5</v>
      </c>
      <c r="J59" s="23">
        <v>10.7</v>
      </c>
      <c r="K59" s="23">
        <v>8.7</v>
      </c>
      <c r="L59" s="23">
        <v>80.9</v>
      </c>
      <c r="M59" s="23">
        <v>19</v>
      </c>
      <c r="N59" s="23">
        <v>22.5</v>
      </c>
      <c r="O59" s="23">
        <v>41.9</v>
      </c>
      <c r="P59" s="23">
        <f>36.2+23.3</f>
        <v>59.5</v>
      </c>
      <c r="Q59" s="23">
        <v>31.4</v>
      </c>
      <c r="R59" s="25"/>
      <c r="S59" s="17">
        <v>18.6</v>
      </c>
      <c r="T59" s="28">
        <f t="shared" si="61"/>
        <v>0.16864433333333334</v>
      </c>
      <c r="U59" s="30">
        <f t="shared" si="62"/>
        <v>0.23293389021479716</v>
      </c>
      <c r="V59" s="30">
        <f t="shared" si="63"/>
        <v>0.09002911208151383</v>
      </c>
      <c r="W59" s="30" t="str">
        <f t="shared" si="64"/>
        <v>ND</v>
      </c>
      <c r="X59" s="30" t="str">
        <f t="shared" si="65"/>
        <v>ND</v>
      </c>
      <c r="Y59" s="30">
        <f t="shared" si="66"/>
        <v>0.12433435897435895</v>
      </c>
      <c r="Z59" s="30" t="str">
        <f t="shared" si="67"/>
        <v>ND</v>
      </c>
      <c r="AA59" s="30" t="str">
        <f t="shared" si="68"/>
        <v>ND</v>
      </c>
      <c r="AB59" s="30" t="str">
        <f t="shared" si="69"/>
        <v>ND</v>
      </c>
      <c r="AC59" s="30" t="str">
        <f t="shared" si="70"/>
        <v>ND</v>
      </c>
      <c r="AD59" s="30">
        <f t="shared" si="71"/>
        <v>0.24208931937172776</v>
      </c>
      <c r="AE59" s="30">
        <f t="shared" si="72"/>
        <v>0.0017587677725118419</v>
      </c>
      <c r="AF59" s="30">
        <f t="shared" si="73"/>
        <v>0.017052017673048595</v>
      </c>
      <c r="AG59" s="30">
        <f t="shared" si="74"/>
        <v>0.10979847619047617</v>
      </c>
      <c r="AH59" s="30">
        <f t="shared" si="75"/>
        <v>0.18171792876384313</v>
      </c>
      <c r="AI59" s="30">
        <f t="shared" si="76"/>
        <v>0.061569410239792594</v>
      </c>
      <c r="AJ59" s="25"/>
      <c r="AK59" s="13" t="s">
        <v>18</v>
      </c>
      <c r="AL59" s="28">
        <f t="shared" si="77"/>
        <v>30.355980000000002</v>
      </c>
      <c r="AM59" s="28">
        <f t="shared" si="78"/>
        <v>41.9281002386635</v>
      </c>
      <c r="AN59" s="28">
        <f t="shared" si="79"/>
        <v>16.20524017467249</v>
      </c>
      <c r="AO59" s="28" t="str">
        <f t="shared" si="80"/>
        <v>ND</v>
      </c>
      <c r="AP59" s="28" t="str">
        <f t="shared" si="81"/>
        <v>ND</v>
      </c>
      <c r="AQ59" s="28">
        <f t="shared" si="82"/>
        <v>22.380184615384614</v>
      </c>
      <c r="AR59" s="28" t="str">
        <f t="shared" si="83"/>
        <v>ND</v>
      </c>
      <c r="AS59" s="28" t="str">
        <f t="shared" si="84"/>
        <v>ND</v>
      </c>
      <c r="AT59" s="28" t="str">
        <f t="shared" si="85"/>
        <v>ND</v>
      </c>
      <c r="AU59" s="28" t="str">
        <f t="shared" si="86"/>
        <v>ND</v>
      </c>
      <c r="AV59" s="28">
        <f t="shared" si="87"/>
        <v>43.576077486911</v>
      </c>
      <c r="AW59" s="28">
        <f t="shared" si="88"/>
        <v>0.3165781990521316</v>
      </c>
      <c r="AX59" s="28">
        <f t="shared" si="89"/>
        <v>3.069363181148747</v>
      </c>
      <c r="AY59" s="28">
        <f t="shared" si="90"/>
        <v>19.763725714285712</v>
      </c>
      <c r="AZ59" s="28">
        <f t="shared" si="91"/>
        <v>32.70922717749177</v>
      </c>
      <c r="BA59" s="28">
        <f t="shared" si="92"/>
        <v>11.082493843162666</v>
      </c>
      <c r="BB59" s="30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5">
      <c r="A60" s="13" t="s">
        <v>19</v>
      </c>
      <c r="B60" s="17">
        <f>28.8+63.4</f>
        <v>92.2</v>
      </c>
      <c r="C60" s="23">
        <f>27.1+71</f>
        <v>98.1</v>
      </c>
      <c r="D60" s="23">
        <v>33.3</v>
      </c>
      <c r="E60" s="23">
        <v>15.3</v>
      </c>
      <c r="F60" s="23">
        <v>7.6</v>
      </c>
      <c r="G60" s="25"/>
      <c r="H60" s="23">
        <v>8.2</v>
      </c>
      <c r="I60" s="23">
        <v>9.7</v>
      </c>
      <c r="J60" s="23">
        <v>37</v>
      </c>
      <c r="K60" s="25"/>
      <c r="L60" s="23">
        <v>213</v>
      </c>
      <c r="M60" s="23">
        <v>25</v>
      </c>
      <c r="N60" s="23">
        <v>51.1</v>
      </c>
      <c r="O60" s="23">
        <v>61</v>
      </c>
      <c r="P60" s="23">
        <v>27.3</v>
      </c>
      <c r="Q60" s="23">
        <v>15.6</v>
      </c>
      <c r="R60" s="25"/>
      <c r="S60" s="17">
        <v>50.6</v>
      </c>
      <c r="T60" s="28">
        <f t="shared" si="61"/>
        <v>0.17153066666666666</v>
      </c>
      <c r="U60" s="30">
        <f t="shared" si="62"/>
        <v>0.21034904534606202</v>
      </c>
      <c r="V60" s="30" t="str">
        <f t="shared" si="63"/>
        <v>ND</v>
      </c>
      <c r="W60" s="30" t="str">
        <f t="shared" si="64"/>
        <v>ND</v>
      </c>
      <c r="X60" s="30" t="str">
        <f t="shared" si="65"/>
        <v>ND</v>
      </c>
      <c r="Y60" s="30" t="str">
        <f t="shared" si="66"/>
        <v>ND</v>
      </c>
      <c r="Z60" s="30" t="str">
        <f t="shared" si="67"/>
        <v>ND</v>
      </c>
      <c r="AA60" s="30" t="str">
        <f t="shared" si="68"/>
        <v>ND</v>
      </c>
      <c r="AB60" s="30" t="str">
        <f t="shared" si="69"/>
        <v>ND</v>
      </c>
      <c r="AC60" s="30" t="str">
        <f t="shared" si="70"/>
        <v>ND</v>
      </c>
      <c r="AD60" s="30">
        <f t="shared" si="71"/>
        <v>0.6310642931937173</v>
      </c>
      <c r="AE60" s="30" t="str">
        <f t="shared" si="72"/>
        <v>ND</v>
      </c>
      <c r="AF60" s="30">
        <f t="shared" si="73"/>
        <v>0.0021861561119293077</v>
      </c>
      <c r="AG60" s="30">
        <f t="shared" si="74"/>
        <v>0.049008761904761895</v>
      </c>
      <c r="AH60" s="30" t="str">
        <f t="shared" si="75"/>
        <v>ND</v>
      </c>
      <c r="AI60" s="30" t="str">
        <f t="shared" si="76"/>
        <v>ND</v>
      </c>
      <c r="AJ60" s="25"/>
      <c r="AK60" s="13" t="s">
        <v>19</v>
      </c>
      <c r="AL60" s="28">
        <f t="shared" si="77"/>
        <v>30.87552</v>
      </c>
      <c r="AM60" s="28">
        <f t="shared" si="78"/>
        <v>37.862828162291166</v>
      </c>
      <c r="AN60" s="28" t="str">
        <f t="shared" si="79"/>
        <v>ND</v>
      </c>
      <c r="AO60" s="28" t="str">
        <f t="shared" si="80"/>
        <v>ND</v>
      </c>
      <c r="AP60" s="28" t="str">
        <f t="shared" si="81"/>
        <v>ND</v>
      </c>
      <c r="AQ60" s="28" t="str">
        <f t="shared" si="82"/>
        <v>ND</v>
      </c>
      <c r="AR60" s="28" t="str">
        <f t="shared" si="83"/>
        <v>ND</v>
      </c>
      <c r="AS60" s="28" t="str">
        <f t="shared" si="84"/>
        <v>ND</v>
      </c>
      <c r="AT60" s="28" t="str">
        <f t="shared" si="85"/>
        <v>ND</v>
      </c>
      <c r="AU60" s="28" t="str">
        <f t="shared" si="86"/>
        <v>ND</v>
      </c>
      <c r="AV60" s="28">
        <f t="shared" si="87"/>
        <v>113.5915727748691</v>
      </c>
      <c r="AW60" s="28" t="str">
        <f t="shared" si="88"/>
        <v>ND</v>
      </c>
      <c r="AX60" s="28">
        <f t="shared" si="89"/>
        <v>0.39350810014727544</v>
      </c>
      <c r="AY60" s="28">
        <f t="shared" si="90"/>
        <v>8.82157714285714</v>
      </c>
      <c r="AZ60" s="28" t="str">
        <f t="shared" si="91"/>
        <v>ND</v>
      </c>
      <c r="BA60" s="28" t="str">
        <f t="shared" si="92"/>
        <v>ND</v>
      </c>
      <c r="BB60" s="30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5">
      <c r="A61" s="13" t="s">
        <v>20</v>
      </c>
      <c r="B61" s="18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17">
        <v>0</v>
      </c>
      <c r="T61" s="28" t="str">
        <f t="shared" si="61"/>
        <v>ND</v>
      </c>
      <c r="U61" s="30" t="str">
        <f t="shared" si="62"/>
        <v>ND</v>
      </c>
      <c r="V61" s="30" t="str">
        <f t="shared" si="63"/>
        <v>ND</v>
      </c>
      <c r="W61" s="30" t="str">
        <f t="shared" si="64"/>
        <v>ND</v>
      </c>
      <c r="X61" s="30" t="str">
        <f t="shared" si="65"/>
        <v>ND</v>
      </c>
      <c r="Y61" s="30" t="str">
        <f t="shared" si="66"/>
        <v>ND</v>
      </c>
      <c r="Z61" s="30" t="str">
        <f t="shared" si="67"/>
        <v>ND</v>
      </c>
      <c r="AA61" s="30" t="str">
        <f t="shared" si="68"/>
        <v>ND</v>
      </c>
      <c r="AB61" s="30" t="str">
        <f t="shared" si="69"/>
        <v>ND</v>
      </c>
      <c r="AC61" s="30" t="str">
        <f t="shared" si="70"/>
        <v>ND</v>
      </c>
      <c r="AD61" s="30" t="str">
        <f t="shared" si="71"/>
        <v>ND</v>
      </c>
      <c r="AE61" s="30" t="str">
        <f t="shared" si="72"/>
        <v>ND</v>
      </c>
      <c r="AF61" s="30" t="str">
        <f t="shared" si="73"/>
        <v>ND</v>
      </c>
      <c r="AG61" s="30" t="str">
        <f t="shared" si="74"/>
        <v>ND</v>
      </c>
      <c r="AH61" s="30" t="str">
        <f t="shared" si="75"/>
        <v>ND</v>
      </c>
      <c r="AI61" s="30" t="str">
        <f t="shared" si="76"/>
        <v>ND</v>
      </c>
      <c r="AJ61" s="25"/>
      <c r="AK61" s="13" t="s">
        <v>20</v>
      </c>
      <c r="AL61" s="28" t="str">
        <f t="shared" si="77"/>
        <v>ND</v>
      </c>
      <c r="AM61" s="28" t="str">
        <f t="shared" si="78"/>
        <v>ND</v>
      </c>
      <c r="AN61" s="28" t="str">
        <f t="shared" si="79"/>
        <v>ND</v>
      </c>
      <c r="AO61" s="28" t="str">
        <f t="shared" si="80"/>
        <v>ND</v>
      </c>
      <c r="AP61" s="28" t="str">
        <f t="shared" si="81"/>
        <v>ND</v>
      </c>
      <c r="AQ61" s="28" t="str">
        <f t="shared" si="82"/>
        <v>ND</v>
      </c>
      <c r="AR61" s="28" t="str">
        <f t="shared" si="83"/>
        <v>ND</v>
      </c>
      <c r="AS61" s="28" t="str">
        <f t="shared" si="84"/>
        <v>ND</v>
      </c>
      <c r="AT61" s="28" t="str">
        <f t="shared" si="85"/>
        <v>ND</v>
      </c>
      <c r="AU61" s="28" t="str">
        <f t="shared" si="86"/>
        <v>ND</v>
      </c>
      <c r="AV61" s="28" t="str">
        <f t="shared" si="87"/>
        <v>ND</v>
      </c>
      <c r="AW61" s="28" t="str">
        <f t="shared" si="88"/>
        <v>ND</v>
      </c>
      <c r="AX61" s="28" t="str">
        <f t="shared" si="89"/>
        <v>ND</v>
      </c>
      <c r="AY61" s="28" t="str">
        <f t="shared" si="90"/>
        <v>ND</v>
      </c>
      <c r="AZ61" s="28" t="str">
        <f t="shared" si="91"/>
        <v>ND</v>
      </c>
      <c r="BA61" s="28" t="str">
        <f t="shared" si="92"/>
        <v>ND</v>
      </c>
      <c r="BB61" s="30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5">
      <c r="A62" s="13" t="s">
        <v>21</v>
      </c>
      <c r="B62" s="17">
        <f>6.9+3.1</f>
        <v>10</v>
      </c>
      <c r="C62" s="23">
        <f>2.8+5.9</f>
        <v>8.7</v>
      </c>
      <c r="D62" s="23">
        <v>2.2</v>
      </c>
      <c r="E62" s="23">
        <v>0.9</v>
      </c>
      <c r="F62" s="25"/>
      <c r="G62" s="25"/>
      <c r="H62" s="25"/>
      <c r="I62" s="25"/>
      <c r="J62" s="25"/>
      <c r="K62" s="25"/>
      <c r="L62" s="23">
        <v>15.9</v>
      </c>
      <c r="M62" s="23">
        <v>2.3</v>
      </c>
      <c r="N62" s="23">
        <v>6.7</v>
      </c>
      <c r="O62" s="23">
        <v>2.28</v>
      </c>
      <c r="P62" s="25"/>
      <c r="Q62" s="23">
        <v>1.52</v>
      </c>
      <c r="R62" s="25"/>
      <c r="S62" s="17">
        <v>0</v>
      </c>
      <c r="T62" s="28">
        <f t="shared" si="61"/>
        <v>0.04123333333333333</v>
      </c>
      <c r="U62" s="30">
        <f t="shared" si="62"/>
        <v>0.03852708830548925</v>
      </c>
      <c r="V62" s="30">
        <f t="shared" si="63"/>
        <v>0.015845123726346434</v>
      </c>
      <c r="W62" s="30">
        <f t="shared" si="64"/>
        <v>0.0042791800128123</v>
      </c>
      <c r="X62" s="30" t="str">
        <f t="shared" si="65"/>
        <v>ND</v>
      </c>
      <c r="Y62" s="30" t="str">
        <f t="shared" si="66"/>
        <v>ND</v>
      </c>
      <c r="Z62" s="30" t="str">
        <f t="shared" si="67"/>
        <v>ND</v>
      </c>
      <c r="AA62" s="30" t="str">
        <f t="shared" si="68"/>
        <v>ND</v>
      </c>
      <c r="AB62" s="30" t="str">
        <f t="shared" si="69"/>
        <v>ND</v>
      </c>
      <c r="AC62" s="30" t="str">
        <f t="shared" si="70"/>
        <v>ND</v>
      </c>
      <c r="AD62" s="30">
        <f t="shared" si="71"/>
        <v>0.061785235602094236</v>
      </c>
      <c r="AE62" s="30">
        <f t="shared" si="72"/>
        <v>0.010112914691943127</v>
      </c>
      <c r="AF62" s="30">
        <f t="shared" si="73"/>
        <v>0.029294491899852726</v>
      </c>
      <c r="AG62" s="30">
        <f t="shared" si="74"/>
        <v>0.01074422857142857</v>
      </c>
      <c r="AH62" s="30" t="str">
        <f t="shared" si="75"/>
        <v>ND</v>
      </c>
      <c r="AI62" s="30">
        <f t="shared" si="76"/>
        <v>0.007311367465975372</v>
      </c>
      <c r="AJ62" s="25"/>
      <c r="AK62" s="13" t="s">
        <v>21</v>
      </c>
      <c r="AL62" s="28">
        <f t="shared" si="77"/>
        <v>7.422</v>
      </c>
      <c r="AM62" s="28">
        <f t="shared" si="78"/>
        <v>6.934875894988066</v>
      </c>
      <c r="AN62" s="28">
        <f t="shared" si="79"/>
        <v>2.852122270742358</v>
      </c>
      <c r="AO62" s="28">
        <f t="shared" si="80"/>
        <v>0.7702524023062142</v>
      </c>
      <c r="AP62" s="28" t="str">
        <f t="shared" si="81"/>
        <v>ND</v>
      </c>
      <c r="AQ62" s="28" t="str">
        <f t="shared" si="82"/>
        <v>ND</v>
      </c>
      <c r="AR62" s="28" t="str">
        <f t="shared" si="83"/>
        <v>ND</v>
      </c>
      <c r="AS62" s="28" t="str">
        <f t="shared" si="84"/>
        <v>ND</v>
      </c>
      <c r="AT62" s="28" t="str">
        <f t="shared" si="85"/>
        <v>ND</v>
      </c>
      <c r="AU62" s="28" t="str">
        <f t="shared" si="86"/>
        <v>ND</v>
      </c>
      <c r="AV62" s="28">
        <f t="shared" si="87"/>
        <v>11.121342408376963</v>
      </c>
      <c r="AW62" s="28">
        <f t="shared" si="88"/>
        <v>1.8203246445497627</v>
      </c>
      <c r="AX62" s="28">
        <f t="shared" si="89"/>
        <v>5.273008541973491</v>
      </c>
      <c r="AY62" s="28">
        <f t="shared" si="90"/>
        <v>1.9339611428571424</v>
      </c>
      <c r="AZ62" s="28" t="str">
        <f t="shared" si="91"/>
        <v>ND</v>
      </c>
      <c r="BA62" s="28">
        <f t="shared" si="92"/>
        <v>1.316046143875567</v>
      </c>
      <c r="BB62" s="30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5">
      <c r="A63" s="13" t="s">
        <v>22</v>
      </c>
      <c r="B63" s="17">
        <v>1.4</v>
      </c>
      <c r="C63" s="23">
        <f>0.9+1.5</f>
        <v>2.4</v>
      </c>
      <c r="D63" s="25"/>
      <c r="E63" s="23">
        <v>0.3</v>
      </c>
      <c r="F63" s="23">
        <v>0.3</v>
      </c>
      <c r="G63" s="25"/>
      <c r="H63" s="25"/>
      <c r="I63" s="23">
        <v>0.1</v>
      </c>
      <c r="J63" s="25"/>
      <c r="K63" s="25"/>
      <c r="L63" s="23">
        <v>4.5</v>
      </c>
      <c r="M63" s="23">
        <v>0.4</v>
      </c>
      <c r="N63" s="23">
        <v>1.15</v>
      </c>
      <c r="O63" s="23">
        <v>0.66</v>
      </c>
      <c r="P63" s="25"/>
      <c r="Q63" s="25"/>
      <c r="R63" s="25"/>
      <c r="S63" s="17">
        <v>0</v>
      </c>
      <c r="T63" s="28">
        <f t="shared" si="61"/>
        <v>0.005772666666666666</v>
      </c>
      <c r="U63" s="30">
        <f t="shared" si="62"/>
        <v>0.010628162291169451</v>
      </c>
      <c r="V63" s="30" t="str">
        <f t="shared" si="63"/>
        <v>ND</v>
      </c>
      <c r="W63" s="30">
        <f t="shared" si="64"/>
        <v>0.0014263933376041</v>
      </c>
      <c r="X63" s="30">
        <f t="shared" si="65"/>
        <v>0.001404351939451277</v>
      </c>
      <c r="Y63" s="30" t="str">
        <f t="shared" si="66"/>
        <v>ND</v>
      </c>
      <c r="Z63" s="30" t="str">
        <f t="shared" si="67"/>
        <v>ND</v>
      </c>
      <c r="AA63" s="30">
        <f t="shared" si="68"/>
        <v>0.0007160636758321272</v>
      </c>
      <c r="AB63" s="30" t="str">
        <f t="shared" si="69"/>
        <v>ND</v>
      </c>
      <c r="AC63" s="30" t="str">
        <f t="shared" si="70"/>
        <v>ND</v>
      </c>
      <c r="AD63" s="30">
        <f t="shared" si="71"/>
        <v>0.017486387434554974</v>
      </c>
      <c r="AE63" s="30">
        <f t="shared" si="72"/>
        <v>0.0017587677725118482</v>
      </c>
      <c r="AF63" s="30">
        <f t="shared" si="73"/>
        <v>0.005028159057437407</v>
      </c>
      <c r="AG63" s="30">
        <f t="shared" si="74"/>
        <v>0.0031101714285714285</v>
      </c>
      <c r="AH63" s="30" t="str">
        <f t="shared" si="75"/>
        <v>ND</v>
      </c>
      <c r="AI63" s="30" t="str">
        <f t="shared" si="76"/>
        <v>ND</v>
      </c>
      <c r="AJ63" s="25"/>
      <c r="AK63" s="13" t="s">
        <v>22</v>
      </c>
      <c r="AL63" s="28">
        <f t="shared" si="77"/>
        <v>1.03908</v>
      </c>
      <c r="AM63" s="28">
        <f t="shared" si="78"/>
        <v>1.913069212410501</v>
      </c>
      <c r="AN63" s="28" t="str">
        <f t="shared" si="79"/>
        <v>ND</v>
      </c>
      <c r="AO63" s="28">
        <f t="shared" si="80"/>
        <v>0.256750800768738</v>
      </c>
      <c r="AP63" s="28">
        <f t="shared" si="81"/>
        <v>0.25278334910122985</v>
      </c>
      <c r="AQ63" s="28" t="str">
        <f t="shared" si="82"/>
        <v>ND</v>
      </c>
      <c r="AR63" s="28" t="str">
        <f t="shared" si="83"/>
        <v>ND</v>
      </c>
      <c r="AS63" s="28">
        <f t="shared" si="84"/>
        <v>0.1288914616497829</v>
      </c>
      <c r="AT63" s="28" t="str">
        <f t="shared" si="85"/>
        <v>ND</v>
      </c>
      <c r="AU63" s="28" t="str">
        <f t="shared" si="86"/>
        <v>ND</v>
      </c>
      <c r="AV63" s="28">
        <f t="shared" si="87"/>
        <v>3.1475497382198956</v>
      </c>
      <c r="AW63" s="28">
        <f t="shared" si="88"/>
        <v>0.3165781990521327</v>
      </c>
      <c r="AX63" s="28">
        <f t="shared" si="89"/>
        <v>0.9050686303387333</v>
      </c>
      <c r="AY63" s="28">
        <f t="shared" si="90"/>
        <v>0.5598308571428572</v>
      </c>
      <c r="AZ63" s="28" t="str">
        <f t="shared" si="91"/>
        <v>ND</v>
      </c>
      <c r="BA63" s="28" t="str">
        <f t="shared" si="92"/>
        <v>ND</v>
      </c>
      <c r="BB63" s="30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5">
      <c r="A64" s="13" t="s">
        <v>23</v>
      </c>
      <c r="B64" s="1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17">
        <v>0</v>
      </c>
      <c r="T64" s="28" t="str">
        <f t="shared" si="61"/>
        <v>ND</v>
      </c>
      <c r="U64" s="30" t="str">
        <f t="shared" si="62"/>
        <v>ND</v>
      </c>
      <c r="V64" s="30" t="str">
        <f t="shared" si="63"/>
        <v>ND</v>
      </c>
      <c r="W64" s="30" t="str">
        <f t="shared" si="64"/>
        <v>ND</v>
      </c>
      <c r="X64" s="30" t="str">
        <f t="shared" si="65"/>
        <v>ND</v>
      </c>
      <c r="Y64" s="30" t="str">
        <f t="shared" si="66"/>
        <v>ND</v>
      </c>
      <c r="Z64" s="30" t="str">
        <f t="shared" si="67"/>
        <v>ND</v>
      </c>
      <c r="AA64" s="30" t="str">
        <f t="shared" si="68"/>
        <v>ND</v>
      </c>
      <c r="AB64" s="30" t="str">
        <f t="shared" si="69"/>
        <v>ND</v>
      </c>
      <c r="AC64" s="30" t="str">
        <f t="shared" si="70"/>
        <v>ND</v>
      </c>
      <c r="AD64" s="30" t="str">
        <f t="shared" si="71"/>
        <v>ND</v>
      </c>
      <c r="AE64" s="30" t="str">
        <f t="shared" si="72"/>
        <v>ND</v>
      </c>
      <c r="AF64" s="30" t="str">
        <f t="shared" si="73"/>
        <v>ND</v>
      </c>
      <c r="AG64" s="30" t="str">
        <f t="shared" si="74"/>
        <v>ND</v>
      </c>
      <c r="AH64" s="30" t="str">
        <f t="shared" si="75"/>
        <v>ND</v>
      </c>
      <c r="AI64" s="30" t="str">
        <f t="shared" si="76"/>
        <v>ND</v>
      </c>
      <c r="AJ64" s="25"/>
      <c r="AK64" s="13" t="s">
        <v>23</v>
      </c>
      <c r="AL64" s="28" t="str">
        <f t="shared" si="77"/>
        <v>ND</v>
      </c>
      <c r="AM64" s="28" t="str">
        <f t="shared" si="78"/>
        <v>ND</v>
      </c>
      <c r="AN64" s="28" t="str">
        <f t="shared" si="79"/>
        <v>ND</v>
      </c>
      <c r="AO64" s="28" t="str">
        <f t="shared" si="80"/>
        <v>ND</v>
      </c>
      <c r="AP64" s="28" t="str">
        <f t="shared" si="81"/>
        <v>ND</v>
      </c>
      <c r="AQ64" s="28" t="str">
        <f t="shared" si="82"/>
        <v>ND</v>
      </c>
      <c r="AR64" s="28" t="str">
        <f t="shared" si="83"/>
        <v>ND</v>
      </c>
      <c r="AS64" s="28" t="str">
        <f t="shared" si="84"/>
        <v>ND</v>
      </c>
      <c r="AT64" s="28" t="str">
        <f t="shared" si="85"/>
        <v>ND</v>
      </c>
      <c r="AU64" s="28" t="str">
        <f t="shared" si="86"/>
        <v>ND</v>
      </c>
      <c r="AV64" s="28" t="str">
        <f t="shared" si="87"/>
        <v>ND</v>
      </c>
      <c r="AW64" s="28" t="str">
        <f t="shared" si="88"/>
        <v>ND</v>
      </c>
      <c r="AX64" s="28" t="str">
        <f t="shared" si="89"/>
        <v>ND</v>
      </c>
      <c r="AY64" s="28" t="str">
        <f t="shared" si="90"/>
        <v>ND</v>
      </c>
      <c r="AZ64" s="28" t="str">
        <f t="shared" si="91"/>
        <v>ND</v>
      </c>
      <c r="BA64" s="28" t="str">
        <f t="shared" si="92"/>
        <v>ND</v>
      </c>
      <c r="BB64" s="30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5">
      <c r="A65" s="13" t="s">
        <v>24</v>
      </c>
      <c r="B65" s="18"/>
      <c r="C65" s="25"/>
      <c r="D65" s="25"/>
      <c r="E65" s="25"/>
      <c r="F65" s="25"/>
      <c r="G65" s="25"/>
      <c r="H65" s="25"/>
      <c r="I65" s="25"/>
      <c r="J65" s="25"/>
      <c r="K65" s="25"/>
      <c r="L65" s="23">
        <v>3.5</v>
      </c>
      <c r="M65" s="25"/>
      <c r="N65" s="23">
        <v>0.78</v>
      </c>
      <c r="O65" s="23">
        <v>0.35</v>
      </c>
      <c r="P65" s="25"/>
      <c r="Q65" s="25"/>
      <c r="R65" s="25"/>
      <c r="S65" s="17">
        <v>0</v>
      </c>
      <c r="T65" s="28" t="str">
        <f t="shared" si="61"/>
        <v>ND</v>
      </c>
      <c r="U65" s="30" t="str">
        <f t="shared" si="62"/>
        <v>ND</v>
      </c>
      <c r="V65" s="30" t="str">
        <f t="shared" si="63"/>
        <v>ND</v>
      </c>
      <c r="W65" s="30" t="str">
        <f t="shared" si="64"/>
        <v>ND</v>
      </c>
      <c r="X65" s="30" t="str">
        <f t="shared" si="65"/>
        <v>ND</v>
      </c>
      <c r="Y65" s="30" t="str">
        <f t="shared" si="66"/>
        <v>ND</v>
      </c>
      <c r="Z65" s="30" t="str">
        <f t="shared" si="67"/>
        <v>ND</v>
      </c>
      <c r="AA65" s="30" t="str">
        <f t="shared" si="68"/>
        <v>ND</v>
      </c>
      <c r="AB65" s="30" t="str">
        <f t="shared" si="69"/>
        <v>ND</v>
      </c>
      <c r="AC65" s="30" t="str">
        <f t="shared" si="70"/>
        <v>ND</v>
      </c>
      <c r="AD65" s="30">
        <f t="shared" si="71"/>
        <v>0.013600523560209422</v>
      </c>
      <c r="AE65" s="30" t="str">
        <f t="shared" si="72"/>
        <v>ND</v>
      </c>
      <c r="AF65" s="30">
        <f t="shared" si="73"/>
        <v>0.00341040353460972</v>
      </c>
      <c r="AG65" s="30">
        <f t="shared" si="74"/>
        <v>0.0016493333333333334</v>
      </c>
      <c r="AH65" s="30" t="str">
        <f t="shared" si="75"/>
        <v>ND</v>
      </c>
      <c r="AI65" s="30" t="str">
        <f t="shared" si="76"/>
        <v>ND</v>
      </c>
      <c r="AJ65" s="25"/>
      <c r="AK65" s="13" t="s">
        <v>24</v>
      </c>
      <c r="AL65" s="28" t="str">
        <f t="shared" si="77"/>
        <v>ND</v>
      </c>
      <c r="AM65" s="28" t="str">
        <f t="shared" si="78"/>
        <v>ND</v>
      </c>
      <c r="AN65" s="28" t="str">
        <f t="shared" si="79"/>
        <v>ND</v>
      </c>
      <c r="AO65" s="28" t="str">
        <f t="shared" si="80"/>
        <v>ND</v>
      </c>
      <c r="AP65" s="28" t="str">
        <f t="shared" si="81"/>
        <v>ND</v>
      </c>
      <c r="AQ65" s="28" t="str">
        <f t="shared" si="82"/>
        <v>ND</v>
      </c>
      <c r="AR65" s="28" t="str">
        <f t="shared" si="83"/>
        <v>ND</v>
      </c>
      <c r="AS65" s="28" t="str">
        <f t="shared" si="84"/>
        <v>ND</v>
      </c>
      <c r="AT65" s="28" t="str">
        <f t="shared" si="85"/>
        <v>ND</v>
      </c>
      <c r="AU65" s="28" t="str">
        <f t="shared" si="86"/>
        <v>ND</v>
      </c>
      <c r="AV65" s="28">
        <f t="shared" si="87"/>
        <v>2.4480942408376962</v>
      </c>
      <c r="AW65" s="28" t="str">
        <f t="shared" si="88"/>
        <v>ND</v>
      </c>
      <c r="AX65" s="28">
        <f t="shared" si="89"/>
        <v>0.6138726362297496</v>
      </c>
      <c r="AY65" s="28">
        <f t="shared" si="90"/>
        <v>0.29688000000000003</v>
      </c>
      <c r="AZ65" s="28" t="str">
        <f t="shared" si="91"/>
        <v>ND</v>
      </c>
      <c r="BA65" s="28" t="str">
        <f t="shared" si="92"/>
        <v>ND</v>
      </c>
      <c r="BB65" s="30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5">
      <c r="A66" s="13" t="s">
        <v>25</v>
      </c>
      <c r="B66" s="18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7">
        <v>0</v>
      </c>
      <c r="T66" s="28" t="str">
        <f t="shared" si="61"/>
        <v>ND</v>
      </c>
      <c r="U66" s="30" t="str">
        <f t="shared" si="62"/>
        <v>ND</v>
      </c>
      <c r="V66" s="30" t="str">
        <f t="shared" si="63"/>
        <v>ND</v>
      </c>
      <c r="W66" s="30" t="str">
        <f t="shared" si="64"/>
        <v>ND</v>
      </c>
      <c r="X66" s="30" t="str">
        <f t="shared" si="65"/>
        <v>ND</v>
      </c>
      <c r="Y66" s="30" t="str">
        <f t="shared" si="66"/>
        <v>ND</v>
      </c>
      <c r="Z66" s="30" t="str">
        <f t="shared" si="67"/>
        <v>ND</v>
      </c>
      <c r="AA66" s="30" t="str">
        <f t="shared" si="68"/>
        <v>ND</v>
      </c>
      <c r="AB66" s="30" t="str">
        <f t="shared" si="69"/>
        <v>ND</v>
      </c>
      <c r="AC66" s="30" t="str">
        <f t="shared" si="70"/>
        <v>ND</v>
      </c>
      <c r="AD66" s="30" t="str">
        <f t="shared" si="71"/>
        <v>ND</v>
      </c>
      <c r="AE66" s="30" t="str">
        <f t="shared" si="72"/>
        <v>ND</v>
      </c>
      <c r="AF66" s="30" t="str">
        <f t="shared" si="73"/>
        <v>ND</v>
      </c>
      <c r="AG66" s="30" t="str">
        <f t="shared" si="74"/>
        <v>ND</v>
      </c>
      <c r="AH66" s="30" t="str">
        <f t="shared" si="75"/>
        <v>ND</v>
      </c>
      <c r="AI66" s="30" t="str">
        <f t="shared" si="76"/>
        <v>ND</v>
      </c>
      <c r="AJ66" s="25"/>
      <c r="AK66" s="13" t="s">
        <v>25</v>
      </c>
      <c r="AL66" s="28" t="str">
        <f t="shared" si="77"/>
        <v>ND</v>
      </c>
      <c r="AM66" s="28" t="str">
        <f t="shared" si="78"/>
        <v>ND</v>
      </c>
      <c r="AN66" s="28" t="str">
        <f t="shared" si="79"/>
        <v>ND</v>
      </c>
      <c r="AO66" s="28" t="str">
        <f t="shared" si="80"/>
        <v>ND</v>
      </c>
      <c r="AP66" s="28" t="str">
        <f t="shared" si="81"/>
        <v>ND</v>
      </c>
      <c r="AQ66" s="28" t="str">
        <f t="shared" si="82"/>
        <v>ND</v>
      </c>
      <c r="AR66" s="28" t="str">
        <f t="shared" si="83"/>
        <v>ND</v>
      </c>
      <c r="AS66" s="28" t="str">
        <f t="shared" si="84"/>
        <v>ND</v>
      </c>
      <c r="AT66" s="28" t="str">
        <f t="shared" si="85"/>
        <v>ND</v>
      </c>
      <c r="AU66" s="28" t="str">
        <f t="shared" si="86"/>
        <v>ND</v>
      </c>
      <c r="AV66" s="28" t="str">
        <f t="shared" si="87"/>
        <v>ND</v>
      </c>
      <c r="AW66" s="28" t="str">
        <f t="shared" si="88"/>
        <v>ND</v>
      </c>
      <c r="AX66" s="28" t="str">
        <f t="shared" si="89"/>
        <v>ND</v>
      </c>
      <c r="AY66" s="28" t="str">
        <f t="shared" si="90"/>
        <v>ND</v>
      </c>
      <c r="AZ66" s="28" t="str">
        <f t="shared" si="91"/>
        <v>ND</v>
      </c>
      <c r="BA66" s="28" t="str">
        <f t="shared" si="92"/>
        <v>ND</v>
      </c>
      <c r="BB66" s="30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5">
      <c r="A67" s="13" t="s">
        <v>26</v>
      </c>
      <c r="B67" s="17">
        <f>1.8+1.4</f>
        <v>3.2</v>
      </c>
      <c r="C67" s="23">
        <f>1.3+2.1</f>
        <v>3.4000000000000004</v>
      </c>
      <c r="D67" s="23">
        <f>0.6+1.8</f>
        <v>2.4</v>
      </c>
      <c r="E67" s="23">
        <v>3.4</v>
      </c>
      <c r="F67" s="23">
        <v>0.4</v>
      </c>
      <c r="G67" s="25"/>
      <c r="H67" s="23">
        <v>0.3</v>
      </c>
      <c r="I67" s="25"/>
      <c r="J67" s="25"/>
      <c r="K67" s="23">
        <v>0.4</v>
      </c>
      <c r="L67" s="23">
        <v>6.5</v>
      </c>
      <c r="M67" s="23">
        <v>0.4</v>
      </c>
      <c r="N67" s="23">
        <v>1.42</v>
      </c>
      <c r="O67" s="23">
        <v>1.01</v>
      </c>
      <c r="P67" s="23">
        <f>1.02+1.24</f>
        <v>2.26</v>
      </c>
      <c r="Q67" s="23">
        <v>1.07</v>
      </c>
      <c r="R67" s="25"/>
      <c r="S67" s="17">
        <v>1.5</v>
      </c>
      <c r="T67" s="28">
        <f t="shared" si="61"/>
        <v>0.0070096666666666675</v>
      </c>
      <c r="U67" s="30">
        <f t="shared" si="62"/>
        <v>0.008413961813842484</v>
      </c>
      <c r="V67" s="30">
        <f t="shared" si="63"/>
        <v>0.006482096069868995</v>
      </c>
      <c r="W67" s="30">
        <f t="shared" si="64"/>
        <v>0.009033824471492632</v>
      </c>
      <c r="X67" s="30" t="str">
        <f t="shared" si="65"/>
        <v>ND</v>
      </c>
      <c r="Y67" s="30" t="str">
        <f t="shared" si="66"/>
        <v>ND</v>
      </c>
      <c r="Z67" s="30" t="str">
        <f t="shared" si="67"/>
        <v>ND</v>
      </c>
      <c r="AA67" s="30" t="str">
        <f t="shared" si="68"/>
        <v>ND</v>
      </c>
      <c r="AB67" s="30" t="str">
        <f t="shared" si="69"/>
        <v>ND</v>
      </c>
      <c r="AC67" s="30" t="str">
        <f t="shared" si="70"/>
        <v>ND</v>
      </c>
      <c r="AD67" s="30">
        <f t="shared" si="71"/>
        <v>0.019429319371727746</v>
      </c>
      <c r="AE67" s="30" t="str">
        <f t="shared" si="72"/>
        <v>ND</v>
      </c>
      <c r="AF67" s="30" t="str">
        <f t="shared" si="73"/>
        <v>ND</v>
      </c>
      <c r="AG67" s="30" t="str">
        <f t="shared" si="74"/>
        <v>ND</v>
      </c>
      <c r="AH67" s="30">
        <f t="shared" si="75"/>
        <v>0.003376665668961387</v>
      </c>
      <c r="AI67" s="30" t="str">
        <f t="shared" si="76"/>
        <v>ND</v>
      </c>
      <c r="AJ67" s="25"/>
      <c r="AK67" s="13" t="s">
        <v>26</v>
      </c>
      <c r="AL67" s="28">
        <f t="shared" si="77"/>
        <v>1.26174</v>
      </c>
      <c r="AM67" s="28">
        <f t="shared" si="78"/>
        <v>1.5145131264916472</v>
      </c>
      <c r="AN67" s="28">
        <f t="shared" si="79"/>
        <v>1.166777292576419</v>
      </c>
      <c r="AO67" s="28">
        <f t="shared" si="80"/>
        <v>1.626088404868674</v>
      </c>
      <c r="AP67" s="28" t="str">
        <f t="shared" si="81"/>
        <v>ND</v>
      </c>
      <c r="AQ67" s="28" t="str">
        <f t="shared" si="82"/>
        <v>ND</v>
      </c>
      <c r="AR67" s="28" t="str">
        <f t="shared" si="83"/>
        <v>ND</v>
      </c>
      <c r="AS67" s="28" t="str">
        <f t="shared" si="84"/>
        <v>ND</v>
      </c>
      <c r="AT67" s="28" t="str">
        <f t="shared" si="85"/>
        <v>ND</v>
      </c>
      <c r="AU67" s="28" t="str">
        <f t="shared" si="86"/>
        <v>ND</v>
      </c>
      <c r="AV67" s="28">
        <f t="shared" si="87"/>
        <v>3.4972774869109946</v>
      </c>
      <c r="AW67" s="28" t="str">
        <f t="shared" si="88"/>
        <v>ND</v>
      </c>
      <c r="AX67" s="28" t="str">
        <f t="shared" si="89"/>
        <v>ND</v>
      </c>
      <c r="AY67" s="28" t="str">
        <f t="shared" si="90"/>
        <v>ND</v>
      </c>
      <c r="AZ67" s="28">
        <f t="shared" si="91"/>
        <v>0.6077998204130497</v>
      </c>
      <c r="BA67" s="28" t="str">
        <f t="shared" si="92"/>
        <v>ND</v>
      </c>
      <c r="BB67" s="30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5">
      <c r="A68" s="13" t="s">
        <v>27</v>
      </c>
      <c r="B68" s="18"/>
      <c r="C68" s="23">
        <v>0.6</v>
      </c>
      <c r="D68" s="25"/>
      <c r="E68" s="23">
        <v>0.1</v>
      </c>
      <c r="F68" s="25"/>
      <c r="G68" s="25"/>
      <c r="H68" s="25"/>
      <c r="I68" s="25"/>
      <c r="J68" s="25"/>
      <c r="K68" s="23">
        <v>0.2</v>
      </c>
      <c r="L68" s="23">
        <v>13</v>
      </c>
      <c r="M68" s="23">
        <v>0.3</v>
      </c>
      <c r="N68" s="25"/>
      <c r="O68" s="25"/>
      <c r="P68" s="25"/>
      <c r="Q68" s="25"/>
      <c r="R68" s="25"/>
      <c r="S68" s="17">
        <v>0</v>
      </c>
      <c r="T68" s="28" t="str">
        <f t="shared" si="61"/>
        <v>ND</v>
      </c>
      <c r="U68" s="30">
        <f t="shared" si="62"/>
        <v>0.002657040572792363</v>
      </c>
      <c r="V68" s="30" t="str">
        <f t="shared" si="63"/>
        <v>ND</v>
      </c>
      <c r="W68" s="30">
        <f t="shared" si="64"/>
        <v>0.0004754644458680333</v>
      </c>
      <c r="X68" s="30" t="str">
        <f t="shared" si="65"/>
        <v>ND</v>
      </c>
      <c r="Y68" s="30" t="str">
        <f t="shared" si="66"/>
        <v>ND</v>
      </c>
      <c r="Z68" s="30" t="str">
        <f t="shared" si="67"/>
        <v>ND</v>
      </c>
      <c r="AA68" s="30" t="str">
        <f t="shared" si="68"/>
        <v>ND</v>
      </c>
      <c r="AB68" s="30" t="str">
        <f t="shared" si="69"/>
        <v>ND</v>
      </c>
      <c r="AC68" s="30">
        <f t="shared" si="70"/>
        <v>0.0008297372833985466</v>
      </c>
      <c r="AD68" s="30">
        <f t="shared" si="71"/>
        <v>0.050516230366492144</v>
      </c>
      <c r="AE68" s="30">
        <f t="shared" si="72"/>
        <v>0.001319075829383886</v>
      </c>
      <c r="AF68" s="30" t="str">
        <f t="shared" si="73"/>
        <v>ND</v>
      </c>
      <c r="AG68" s="30" t="str">
        <f t="shared" si="74"/>
        <v>ND</v>
      </c>
      <c r="AH68" s="30" t="str">
        <f t="shared" si="75"/>
        <v>ND</v>
      </c>
      <c r="AI68" s="30" t="str">
        <f t="shared" si="76"/>
        <v>ND</v>
      </c>
      <c r="AJ68" s="25"/>
      <c r="AK68" s="13" t="s">
        <v>27</v>
      </c>
      <c r="AL68" s="28" t="str">
        <f t="shared" si="77"/>
        <v>ND</v>
      </c>
      <c r="AM68" s="28">
        <f t="shared" si="78"/>
        <v>0.4782673031026253</v>
      </c>
      <c r="AN68" s="28" t="str">
        <f t="shared" si="79"/>
        <v>ND</v>
      </c>
      <c r="AO68" s="28">
        <f t="shared" si="80"/>
        <v>0.085583600256246</v>
      </c>
      <c r="AP68" s="28" t="str">
        <f t="shared" si="81"/>
        <v>ND</v>
      </c>
      <c r="AQ68" s="28" t="str">
        <f t="shared" si="82"/>
        <v>ND</v>
      </c>
      <c r="AR68" s="28" t="str">
        <f t="shared" si="83"/>
        <v>ND</v>
      </c>
      <c r="AS68" s="28" t="str">
        <f t="shared" si="84"/>
        <v>ND</v>
      </c>
      <c r="AT68" s="28" t="str">
        <f t="shared" si="85"/>
        <v>ND</v>
      </c>
      <c r="AU68" s="28">
        <f t="shared" si="86"/>
        <v>0.1493527110117384</v>
      </c>
      <c r="AV68" s="28">
        <f t="shared" si="87"/>
        <v>9.092921465968587</v>
      </c>
      <c r="AW68" s="28">
        <f t="shared" si="88"/>
        <v>0.23743364928909952</v>
      </c>
      <c r="AX68" s="28" t="str">
        <f t="shared" si="89"/>
        <v>ND</v>
      </c>
      <c r="AY68" s="28" t="str">
        <f t="shared" si="90"/>
        <v>ND</v>
      </c>
      <c r="AZ68" s="28" t="str">
        <f t="shared" si="91"/>
        <v>ND</v>
      </c>
      <c r="BA68" s="28" t="str">
        <f t="shared" si="92"/>
        <v>ND</v>
      </c>
      <c r="BB68" s="30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5">
      <c r="A69" s="13" t="s">
        <v>28</v>
      </c>
      <c r="B69" s="17">
        <f>1.3+2.9</f>
        <v>4.2</v>
      </c>
      <c r="C69" s="23">
        <f>1.4+2.1</f>
        <v>3.5</v>
      </c>
      <c r="D69" s="23">
        <v>1.4</v>
      </c>
      <c r="E69" s="25"/>
      <c r="F69" s="25"/>
      <c r="G69" s="25"/>
      <c r="H69" s="23">
        <v>3.5</v>
      </c>
      <c r="I69" s="25"/>
      <c r="J69" s="25"/>
      <c r="K69" s="23">
        <v>0.6</v>
      </c>
      <c r="L69" s="23">
        <v>1.8</v>
      </c>
      <c r="M69" s="23">
        <v>0.5</v>
      </c>
      <c r="N69" s="25"/>
      <c r="O69" s="25"/>
      <c r="P69" s="25"/>
      <c r="Q69" s="23">
        <v>1.3</v>
      </c>
      <c r="R69" s="25"/>
      <c r="S69" s="17">
        <v>0</v>
      </c>
      <c r="T69" s="28">
        <f t="shared" si="61"/>
        <v>0.017318</v>
      </c>
      <c r="U69" s="30">
        <f t="shared" si="62"/>
        <v>0.015499403341288782</v>
      </c>
      <c r="V69" s="30">
        <f t="shared" si="63"/>
        <v>0.01008326055312955</v>
      </c>
      <c r="W69" s="30" t="str">
        <f t="shared" si="64"/>
        <v>ND</v>
      </c>
      <c r="X69" s="30" t="str">
        <f t="shared" si="65"/>
        <v>ND</v>
      </c>
      <c r="Y69" s="30" t="str">
        <f t="shared" si="66"/>
        <v>ND</v>
      </c>
      <c r="Z69" s="30">
        <f t="shared" si="67"/>
        <v>0.015499403341288782</v>
      </c>
      <c r="AA69" s="30" t="str">
        <f t="shared" si="68"/>
        <v>ND</v>
      </c>
      <c r="AB69" s="30" t="str">
        <f t="shared" si="69"/>
        <v>ND</v>
      </c>
      <c r="AC69" s="30">
        <f t="shared" si="70"/>
        <v>0.00248921185019564</v>
      </c>
      <c r="AD69" s="30">
        <f t="shared" si="71"/>
        <v>0.00699455497382199</v>
      </c>
      <c r="AE69" s="30">
        <f t="shared" si="72"/>
        <v>0.0021984597156398103</v>
      </c>
      <c r="AF69" s="30" t="str">
        <f t="shared" si="73"/>
        <v>ND</v>
      </c>
      <c r="AG69" s="30" t="str">
        <f t="shared" si="74"/>
        <v>ND</v>
      </c>
      <c r="AH69" s="30" t="str">
        <f t="shared" si="75"/>
        <v>ND</v>
      </c>
      <c r="AI69" s="30">
        <f t="shared" si="76"/>
        <v>0.006253143227478936</v>
      </c>
      <c r="AJ69" s="25"/>
      <c r="AK69" s="13" t="s">
        <v>28</v>
      </c>
      <c r="AL69" s="28">
        <f t="shared" si="77"/>
        <v>3.1172400000000002</v>
      </c>
      <c r="AM69" s="28">
        <f t="shared" si="78"/>
        <v>2.789892601431981</v>
      </c>
      <c r="AN69" s="28">
        <f t="shared" si="79"/>
        <v>1.8149868995633187</v>
      </c>
      <c r="AO69" s="28" t="str">
        <f t="shared" si="80"/>
        <v>ND</v>
      </c>
      <c r="AP69" s="28" t="str">
        <f t="shared" si="81"/>
        <v>ND</v>
      </c>
      <c r="AQ69" s="28" t="str">
        <f t="shared" si="82"/>
        <v>ND</v>
      </c>
      <c r="AR69" s="28">
        <f t="shared" si="83"/>
        <v>2.789892601431981</v>
      </c>
      <c r="AS69" s="28" t="str">
        <f t="shared" si="84"/>
        <v>ND</v>
      </c>
      <c r="AT69" s="28" t="str">
        <f t="shared" si="85"/>
        <v>ND</v>
      </c>
      <c r="AU69" s="28">
        <f t="shared" si="86"/>
        <v>0.4480581330352152</v>
      </c>
      <c r="AV69" s="28">
        <f t="shared" si="87"/>
        <v>1.2590198952879583</v>
      </c>
      <c r="AW69" s="28">
        <f t="shared" si="88"/>
        <v>0.3957227488151659</v>
      </c>
      <c r="AX69" s="28" t="str">
        <f t="shared" si="89"/>
        <v>ND</v>
      </c>
      <c r="AY69" s="28" t="str">
        <f t="shared" si="90"/>
        <v>ND</v>
      </c>
      <c r="AZ69" s="28" t="str">
        <f t="shared" si="91"/>
        <v>ND</v>
      </c>
      <c r="BA69" s="28">
        <f t="shared" si="92"/>
        <v>1.1255657809462085</v>
      </c>
      <c r="BB69" s="30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5">
      <c r="A70" s="13" t="s">
        <v>29</v>
      </c>
      <c r="B70" s="18"/>
      <c r="C70" s="23">
        <v>0.4</v>
      </c>
      <c r="D70" s="23">
        <v>0.6</v>
      </c>
      <c r="E70" s="25"/>
      <c r="F70" s="25"/>
      <c r="G70" s="23">
        <v>1.5</v>
      </c>
      <c r="H70" s="23">
        <v>0.2</v>
      </c>
      <c r="I70" s="25"/>
      <c r="J70" s="25"/>
      <c r="K70" s="23">
        <v>0.1</v>
      </c>
      <c r="L70" s="23">
        <v>0.6</v>
      </c>
      <c r="M70" s="25"/>
      <c r="N70" s="25"/>
      <c r="O70" s="25"/>
      <c r="P70" s="25"/>
      <c r="Q70" s="25"/>
      <c r="R70" s="25"/>
      <c r="S70" s="17">
        <v>0.2</v>
      </c>
      <c r="T70" s="28" t="str">
        <f t="shared" si="61"/>
        <v>ND</v>
      </c>
      <c r="U70" s="30">
        <f t="shared" si="62"/>
        <v>0.0008856801909307876</v>
      </c>
      <c r="V70" s="30">
        <f t="shared" si="63"/>
        <v>0.002880931586608442</v>
      </c>
      <c r="W70" s="30" t="str">
        <f t="shared" si="64"/>
        <v>ND</v>
      </c>
      <c r="X70" s="30" t="str">
        <f t="shared" si="65"/>
        <v>ND</v>
      </c>
      <c r="Y70" s="30">
        <f t="shared" si="66"/>
        <v>0.016493333333333332</v>
      </c>
      <c r="Z70" s="30" t="str">
        <f t="shared" si="67"/>
        <v>ND</v>
      </c>
      <c r="AA70" s="30" t="str">
        <f t="shared" si="68"/>
        <v>ND</v>
      </c>
      <c r="AB70" s="30" t="str">
        <f t="shared" si="69"/>
        <v>ND</v>
      </c>
      <c r="AC70" s="30" t="str">
        <f t="shared" si="70"/>
        <v>ND</v>
      </c>
      <c r="AD70" s="30">
        <f t="shared" si="71"/>
        <v>0.0015543455497382197</v>
      </c>
      <c r="AE70" s="30" t="str">
        <f t="shared" si="72"/>
        <v>ND</v>
      </c>
      <c r="AF70" s="30" t="str">
        <f t="shared" si="73"/>
        <v>ND</v>
      </c>
      <c r="AG70" s="30" t="str">
        <f t="shared" si="74"/>
        <v>ND</v>
      </c>
      <c r="AH70" s="30" t="str">
        <f t="shared" si="75"/>
        <v>ND</v>
      </c>
      <c r="AI70" s="30" t="str">
        <f t="shared" si="76"/>
        <v>ND</v>
      </c>
      <c r="AJ70" s="25"/>
      <c r="AK70" s="13" t="s">
        <v>29</v>
      </c>
      <c r="AL70" s="28" t="str">
        <f t="shared" si="77"/>
        <v>ND</v>
      </c>
      <c r="AM70" s="28">
        <f t="shared" si="78"/>
        <v>0.15942243436754178</v>
      </c>
      <c r="AN70" s="28">
        <f t="shared" si="79"/>
        <v>0.5185676855895196</v>
      </c>
      <c r="AO70" s="28" t="str">
        <f t="shared" si="80"/>
        <v>ND</v>
      </c>
      <c r="AP70" s="28" t="str">
        <f t="shared" si="81"/>
        <v>ND</v>
      </c>
      <c r="AQ70" s="28">
        <f t="shared" si="82"/>
        <v>2.9688</v>
      </c>
      <c r="AR70" s="28" t="str">
        <f t="shared" si="83"/>
        <v>ND</v>
      </c>
      <c r="AS70" s="28" t="str">
        <f t="shared" si="84"/>
        <v>ND</v>
      </c>
      <c r="AT70" s="28" t="str">
        <f t="shared" si="85"/>
        <v>ND</v>
      </c>
      <c r="AU70" s="28" t="str">
        <f t="shared" si="86"/>
        <v>ND</v>
      </c>
      <c r="AV70" s="28">
        <f t="shared" si="87"/>
        <v>0.27978219895287954</v>
      </c>
      <c r="AW70" s="28" t="str">
        <f t="shared" si="88"/>
        <v>ND</v>
      </c>
      <c r="AX70" s="28" t="str">
        <f t="shared" si="89"/>
        <v>ND</v>
      </c>
      <c r="AY70" s="28" t="str">
        <f t="shared" si="90"/>
        <v>ND</v>
      </c>
      <c r="AZ70" s="28" t="str">
        <f t="shared" si="91"/>
        <v>ND</v>
      </c>
      <c r="BA70" s="28" t="str">
        <f t="shared" si="92"/>
        <v>ND</v>
      </c>
      <c r="BB70" s="30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5">
      <c r="A71" s="13" t="s">
        <v>30</v>
      </c>
      <c r="B71" s="17">
        <f>4.2+7.8</f>
        <v>12</v>
      </c>
      <c r="C71" s="23">
        <v>7.7</v>
      </c>
      <c r="D71" s="25"/>
      <c r="E71" s="25"/>
      <c r="F71" s="25"/>
      <c r="G71" s="23">
        <v>58.3</v>
      </c>
      <c r="H71" s="25"/>
      <c r="I71" s="25"/>
      <c r="J71" s="25"/>
      <c r="K71" s="25"/>
      <c r="L71" s="23">
        <v>33.8</v>
      </c>
      <c r="M71" s="23">
        <v>2.7</v>
      </c>
      <c r="N71" s="23">
        <v>6</v>
      </c>
      <c r="O71" s="25"/>
      <c r="P71" s="25"/>
      <c r="Q71" s="25"/>
      <c r="R71" s="25"/>
      <c r="S71" s="17">
        <v>0</v>
      </c>
      <c r="T71" s="28">
        <f t="shared" si="61"/>
        <v>0.049479999999999996</v>
      </c>
      <c r="U71" s="30">
        <f t="shared" si="62"/>
        <v>0.03409868735083532</v>
      </c>
      <c r="V71" s="30" t="str">
        <f t="shared" si="63"/>
        <v>ND</v>
      </c>
      <c r="W71" s="30" t="str">
        <f t="shared" si="64"/>
        <v>ND</v>
      </c>
      <c r="X71" s="30" t="str">
        <f t="shared" si="65"/>
        <v>ND</v>
      </c>
      <c r="Y71" s="30">
        <f t="shared" si="66"/>
        <v>0.739662564102564</v>
      </c>
      <c r="Z71" s="30" t="str">
        <f t="shared" si="67"/>
        <v>ND</v>
      </c>
      <c r="AA71" s="30" t="str">
        <f t="shared" si="68"/>
        <v>ND</v>
      </c>
      <c r="AB71" s="30" t="str">
        <f t="shared" si="69"/>
        <v>ND</v>
      </c>
      <c r="AC71" s="30" t="str">
        <f t="shared" si="70"/>
        <v>ND</v>
      </c>
      <c r="AD71" s="30">
        <f t="shared" si="71"/>
        <v>0.13134219895287955</v>
      </c>
      <c r="AE71" s="30">
        <f t="shared" si="72"/>
        <v>0.011871682464454976</v>
      </c>
      <c r="AF71" s="30">
        <f t="shared" si="73"/>
        <v>0.026233873343151692</v>
      </c>
      <c r="AG71" s="30" t="str">
        <f t="shared" si="74"/>
        <v>ND</v>
      </c>
      <c r="AH71" s="30" t="str">
        <f t="shared" si="75"/>
        <v>ND</v>
      </c>
      <c r="AI71" s="30" t="str">
        <f t="shared" si="76"/>
        <v>ND</v>
      </c>
      <c r="AJ71" s="25"/>
      <c r="AK71" s="13" t="s">
        <v>30</v>
      </c>
      <c r="AL71" s="28">
        <f t="shared" si="77"/>
        <v>8.9064</v>
      </c>
      <c r="AM71" s="28">
        <f t="shared" si="78"/>
        <v>6.137763723150358</v>
      </c>
      <c r="AN71" s="28" t="str">
        <f t="shared" si="79"/>
        <v>ND</v>
      </c>
      <c r="AO71" s="28" t="str">
        <f t="shared" si="80"/>
        <v>ND</v>
      </c>
      <c r="AP71" s="28" t="str">
        <f t="shared" si="81"/>
        <v>ND</v>
      </c>
      <c r="AQ71" s="28">
        <f t="shared" si="82"/>
        <v>133.13926153846154</v>
      </c>
      <c r="AR71" s="28" t="str">
        <f t="shared" si="83"/>
        <v>ND</v>
      </c>
      <c r="AS71" s="28" t="str">
        <f t="shared" si="84"/>
        <v>ND</v>
      </c>
      <c r="AT71" s="28" t="str">
        <f t="shared" si="85"/>
        <v>ND</v>
      </c>
      <c r="AU71" s="28" t="str">
        <f t="shared" si="86"/>
        <v>ND</v>
      </c>
      <c r="AV71" s="28">
        <f t="shared" si="87"/>
        <v>23.64159581151832</v>
      </c>
      <c r="AW71" s="28">
        <f t="shared" si="88"/>
        <v>2.1369028436018955</v>
      </c>
      <c r="AX71" s="28">
        <f t="shared" si="89"/>
        <v>4.722097201767305</v>
      </c>
      <c r="AY71" s="28" t="str">
        <f t="shared" si="90"/>
        <v>ND</v>
      </c>
      <c r="AZ71" s="28" t="str">
        <f t="shared" si="91"/>
        <v>ND</v>
      </c>
      <c r="BA71" s="28" t="str">
        <f t="shared" si="92"/>
        <v>ND</v>
      </c>
      <c r="BB71" s="30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5">
      <c r="A72" s="13" t="s">
        <v>34</v>
      </c>
      <c r="B72" s="1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17">
        <v>0</v>
      </c>
      <c r="T72" s="28" t="str">
        <f t="shared" si="61"/>
        <v>ND</v>
      </c>
      <c r="U72" s="30" t="str">
        <f t="shared" si="62"/>
        <v>ND</v>
      </c>
      <c r="V72" s="30" t="str">
        <f t="shared" si="63"/>
        <v>ND</v>
      </c>
      <c r="W72" s="30" t="str">
        <f t="shared" si="64"/>
        <v>ND</v>
      </c>
      <c r="X72" s="30" t="str">
        <f t="shared" si="65"/>
        <v>ND</v>
      </c>
      <c r="Y72" s="30" t="str">
        <f t="shared" si="66"/>
        <v>ND</v>
      </c>
      <c r="Z72" s="30" t="str">
        <f t="shared" si="67"/>
        <v>ND</v>
      </c>
      <c r="AA72" s="30" t="str">
        <f t="shared" si="68"/>
        <v>ND</v>
      </c>
      <c r="AB72" s="30" t="str">
        <f t="shared" si="69"/>
        <v>ND</v>
      </c>
      <c r="AC72" s="30" t="str">
        <f t="shared" si="70"/>
        <v>ND</v>
      </c>
      <c r="AD72" s="30" t="str">
        <f t="shared" si="71"/>
        <v>ND</v>
      </c>
      <c r="AE72" s="30" t="str">
        <f t="shared" si="72"/>
        <v>ND</v>
      </c>
      <c r="AF72" s="30" t="str">
        <f t="shared" si="73"/>
        <v>ND</v>
      </c>
      <c r="AG72" s="30" t="str">
        <f t="shared" si="74"/>
        <v>ND</v>
      </c>
      <c r="AH72" s="30" t="str">
        <f t="shared" si="75"/>
        <v>ND</v>
      </c>
      <c r="AI72" s="30" t="str">
        <f t="shared" si="76"/>
        <v>ND</v>
      </c>
      <c r="AJ72" s="25"/>
      <c r="AK72" s="13" t="s">
        <v>34</v>
      </c>
      <c r="AL72" s="28" t="str">
        <f t="shared" si="77"/>
        <v>ND</v>
      </c>
      <c r="AM72" s="28" t="str">
        <f t="shared" si="78"/>
        <v>ND</v>
      </c>
      <c r="AN72" s="28" t="str">
        <f t="shared" si="79"/>
        <v>ND</v>
      </c>
      <c r="AO72" s="28" t="str">
        <f t="shared" si="80"/>
        <v>ND</v>
      </c>
      <c r="AP72" s="28" t="str">
        <f t="shared" si="81"/>
        <v>ND</v>
      </c>
      <c r="AQ72" s="28" t="str">
        <f t="shared" si="82"/>
        <v>ND</v>
      </c>
      <c r="AR72" s="28" t="str">
        <f t="shared" si="83"/>
        <v>ND</v>
      </c>
      <c r="AS72" s="28" t="str">
        <f t="shared" si="84"/>
        <v>ND</v>
      </c>
      <c r="AT72" s="28" t="str">
        <f t="shared" si="85"/>
        <v>ND</v>
      </c>
      <c r="AU72" s="28" t="str">
        <f t="shared" si="86"/>
        <v>ND</v>
      </c>
      <c r="AV72" s="28" t="str">
        <f t="shared" si="87"/>
        <v>ND</v>
      </c>
      <c r="AW72" s="28" t="str">
        <f t="shared" si="88"/>
        <v>ND</v>
      </c>
      <c r="AX72" s="28" t="str">
        <f t="shared" si="89"/>
        <v>ND</v>
      </c>
      <c r="AY72" s="28" t="str">
        <f t="shared" si="90"/>
        <v>ND</v>
      </c>
      <c r="AZ72" s="28" t="str">
        <f t="shared" si="91"/>
        <v>ND</v>
      </c>
      <c r="BA72" s="28" t="str">
        <f t="shared" si="92"/>
        <v>ND</v>
      </c>
      <c r="BB72" s="30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54" ht="15.75" thickBot="1">
      <c r="A73" s="15" t="s">
        <v>32</v>
      </c>
      <c r="B73" s="19">
        <f>1.63+0.867</f>
        <v>2.497</v>
      </c>
      <c r="C73" s="26">
        <f>1.728+0.754</f>
        <v>2.482</v>
      </c>
      <c r="D73" s="26">
        <f>0.841+0.026</f>
        <v>0.867</v>
      </c>
      <c r="E73" s="26">
        <f>1.464+0.003</f>
        <v>1.4669999999999999</v>
      </c>
      <c r="F73" s="26">
        <v>0.418</v>
      </c>
      <c r="G73" s="26">
        <v>0.149</v>
      </c>
      <c r="H73" s="26">
        <v>0.81</v>
      </c>
      <c r="I73" s="26">
        <v>0.575</v>
      </c>
      <c r="J73" s="26">
        <v>0.349</v>
      </c>
      <c r="K73" s="26">
        <v>0.815</v>
      </c>
      <c r="L73" s="26">
        <v>1.726</v>
      </c>
      <c r="M73" s="26">
        <v>1.153</v>
      </c>
      <c r="N73" s="26">
        <v>1.185</v>
      </c>
      <c r="O73" s="26">
        <v>1.405</v>
      </c>
      <c r="P73" s="26">
        <f>0.075+1.009</f>
        <v>1.0839999999999999</v>
      </c>
      <c r="Q73" s="26">
        <v>1.02</v>
      </c>
      <c r="R73" s="25"/>
      <c r="S73" s="15" t="s">
        <v>32</v>
      </c>
      <c r="T73" s="19">
        <f>IF(B73=0,"ND",1000000*(14.6216*B73)/T$4)</f>
        <v>101417.04222222223</v>
      </c>
      <c r="U73" s="26">
        <f>IF(C73=0,"ND",1000000*(14.6216*C73)/U$4)</f>
        <v>108266.14319809072</v>
      </c>
      <c r="V73" s="26">
        <f>IF(D73=0,"ND",1000000*(14.6216*D73)/V$4)</f>
        <v>61508.62299854439</v>
      </c>
      <c r="W73" s="26">
        <f>IF(E73=0,"ND",(14.6216*E73*1.65)/W$4)</f>
        <v>0.11336423408071748</v>
      </c>
      <c r="X73" s="26">
        <f aca="true" t="shared" si="93" ref="X73:AI73">IF(F73=0,"ND",(14.6216*F73*2)/X$4)</f>
        <v>0.038548273730684326</v>
      </c>
      <c r="Y73" s="26">
        <f t="shared" si="93"/>
        <v>0.03724134017094017</v>
      </c>
      <c r="Z73" s="26">
        <f t="shared" si="93"/>
        <v>0.07066525059665872</v>
      </c>
      <c r="AA73" s="26">
        <f t="shared" si="93"/>
        <v>0.08111355523396044</v>
      </c>
      <c r="AB73" s="26">
        <f t="shared" si="93"/>
        <v>0.030419901043219077</v>
      </c>
      <c r="AC73" s="26">
        <f t="shared" si="93"/>
        <v>0.06661041922861934</v>
      </c>
      <c r="AD73" s="26">
        <f t="shared" si="93"/>
        <v>0.13213027015706807</v>
      </c>
      <c r="AE73" s="26">
        <f t="shared" si="93"/>
        <v>0.09987384360189573</v>
      </c>
      <c r="AF73" s="26">
        <f t="shared" si="93"/>
        <v>0.10207125773195877</v>
      </c>
      <c r="AG73" s="26">
        <f t="shared" si="93"/>
        <v>0.13043395555555556</v>
      </c>
      <c r="AH73" s="26">
        <f t="shared" si="93"/>
        <v>0.09488066087997604</v>
      </c>
      <c r="AI73" s="26">
        <f t="shared" si="93"/>
        <v>0.09665607258587168</v>
      </c>
      <c r="AJ73" s="25"/>
      <c r="AK73" s="15" t="s">
        <v>32</v>
      </c>
      <c r="AL73" s="17">
        <f aca="true" t="shared" si="94" ref="AL73:BA73">IF(T73=0,"ND",0.01*T73*3600)</f>
        <v>3651013.5200000005</v>
      </c>
      <c r="AM73" s="23">
        <f t="shared" si="94"/>
        <v>3897581.1551312665</v>
      </c>
      <c r="AN73" s="23">
        <f t="shared" si="94"/>
        <v>2214310.4279475985</v>
      </c>
      <c r="AO73" s="23">
        <f t="shared" si="94"/>
        <v>4.081112426905829</v>
      </c>
      <c r="AP73" s="23">
        <f t="shared" si="94"/>
        <v>1.3877378543046357</v>
      </c>
      <c r="AQ73" s="23">
        <f t="shared" si="94"/>
        <v>1.340688246153846</v>
      </c>
      <c r="AR73" s="23">
        <f t="shared" si="94"/>
        <v>2.543949021479714</v>
      </c>
      <c r="AS73" s="23">
        <f t="shared" si="94"/>
        <v>2.920087988422576</v>
      </c>
      <c r="AT73" s="23">
        <f t="shared" si="94"/>
        <v>1.0951164375558868</v>
      </c>
      <c r="AU73" s="23">
        <f t="shared" si="94"/>
        <v>2.3979750922302965</v>
      </c>
      <c r="AV73" s="23">
        <f t="shared" si="94"/>
        <v>4.756689725654451</v>
      </c>
      <c r="AW73" s="23">
        <f t="shared" si="94"/>
        <v>3.5954583696682465</v>
      </c>
      <c r="AX73" s="23">
        <f t="shared" si="94"/>
        <v>3.674565278350516</v>
      </c>
      <c r="AY73" s="23">
        <f t="shared" si="94"/>
        <v>4.6956224</v>
      </c>
      <c r="AZ73" s="23">
        <f t="shared" si="94"/>
        <v>3.4157037916791375</v>
      </c>
      <c r="BA73" s="23">
        <f t="shared" si="94"/>
        <v>3.4796186130913807</v>
      </c>
      <c r="BB73" s="25"/>
    </row>
    <row r="74" spans="1:53" ht="15.75" thickTop="1">
      <c r="A74" s="1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S74" s="27" t="s">
        <v>87</v>
      </c>
      <c r="T74" s="29">
        <f aca="true" t="shared" si="95" ref="T74:AI74">SUM(T46:T72)*100/T73</f>
        <v>0.8953517177882157</v>
      </c>
      <c r="U74" s="29">
        <f t="shared" si="95"/>
        <v>0.8788159192208963</v>
      </c>
      <c r="V74" s="29">
        <f t="shared" si="95"/>
        <v>0.5697484737468556</v>
      </c>
      <c r="W74" s="29">
        <f t="shared" si="95"/>
        <v>492483.66702154715</v>
      </c>
      <c r="X74" s="29">
        <f t="shared" si="95"/>
        <v>307288.15047960763</v>
      </c>
      <c r="Y74" s="29">
        <f t="shared" si="95"/>
        <v>7831472.499268345</v>
      </c>
      <c r="Z74" s="29">
        <f t="shared" si="95"/>
        <v>157920.36033954835</v>
      </c>
      <c r="AA74" s="29">
        <f t="shared" si="95"/>
        <v>164637.10769772407</v>
      </c>
      <c r="AB74" s="29">
        <f t="shared" si="95"/>
        <v>365539.73059913865</v>
      </c>
      <c r="AC74" s="29">
        <f t="shared" si="95"/>
        <v>492623.048479248</v>
      </c>
      <c r="AD74" s="29">
        <f t="shared" si="95"/>
        <v>787829.7183911975</v>
      </c>
      <c r="AE74" s="29">
        <f t="shared" si="95"/>
        <v>189909.05624019224</v>
      </c>
      <c r="AF74" s="29">
        <f t="shared" si="95"/>
        <v>597064.625423251</v>
      </c>
      <c r="AG74" s="29">
        <f t="shared" si="95"/>
        <v>612667.1407114362</v>
      </c>
      <c r="AH74" s="29">
        <f t="shared" si="95"/>
        <v>542848.908009926</v>
      </c>
      <c r="AI74" s="29">
        <f t="shared" si="95"/>
        <v>299630.9812396809</v>
      </c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7" spans="18:24" ht="15">
      <c r="R77" s="1" t="s">
        <v>83</v>
      </c>
      <c r="T77" s="1" t="s">
        <v>90</v>
      </c>
      <c r="U77" s="1" t="s">
        <v>91</v>
      </c>
      <c r="W77" s="1" t="s">
        <v>92</v>
      </c>
      <c r="X77" s="1" t="s">
        <v>93</v>
      </c>
    </row>
    <row r="78" spans="18:24" ht="15">
      <c r="R78" s="2" t="str">
        <f aca="true" t="shared" si="96" ref="R78:R105">A7</f>
        <v>Fe</v>
      </c>
      <c r="S78" s="1" t="s">
        <v>89</v>
      </c>
      <c r="T78" s="4">
        <f>(SUM(T7:AI7)-Y7+SUM(T46:AI46)-Y46)/14</f>
        <v>181.16380948698742</v>
      </c>
      <c r="U78" s="8">
        <f>100*W78/(W78+X78)</f>
        <v>76.46088692527255</v>
      </c>
      <c r="W78" s="4">
        <f>(SUM(T7:AI7))/14</f>
        <v>250.01340951757948</v>
      </c>
      <c r="X78" s="4">
        <f>(SUM(T46:AI46)-Y46)/14</f>
        <v>76.96868495109295</v>
      </c>
    </row>
    <row r="79" spans="18:24" ht="15">
      <c r="R79" s="2" t="str">
        <f t="shared" si="96"/>
        <v>Na</v>
      </c>
      <c r="S79" s="1" t="s">
        <v>89</v>
      </c>
      <c r="T79" s="4">
        <f>(SUM(T8:AI8)-Y8+SUM(T47:AI47)-Y47)/15</f>
        <v>651.2843928150182</v>
      </c>
      <c r="U79" s="8">
        <f>100*W79/(W79+X79)</f>
        <v>43.47487232604702</v>
      </c>
      <c r="W79" s="4">
        <f aca="true" t="shared" si="97" ref="W79:W105">(SUM(T8:AI8))/15</f>
        <v>298.81011360954267</v>
      </c>
      <c r="X79" s="4">
        <f aca="true" t="shared" si="98" ref="X79:X84">(SUM(T47:AI47)-Y47)/15</f>
        <v>388.5067147610312</v>
      </c>
    </row>
    <row r="80" spans="18:24" ht="15">
      <c r="R80" s="2" t="str">
        <f t="shared" si="96"/>
        <v>K</v>
      </c>
      <c r="T80" s="5" t="s">
        <v>84</v>
      </c>
      <c r="U80" s="9" t="s">
        <v>84</v>
      </c>
      <c r="W80" s="4">
        <f t="shared" si="97"/>
        <v>0</v>
      </c>
      <c r="X80" s="4">
        <f t="shared" si="98"/>
        <v>0</v>
      </c>
    </row>
    <row r="81" spans="18:24" ht="15">
      <c r="R81" s="2" t="str">
        <f t="shared" si="96"/>
        <v>Cs</v>
      </c>
      <c r="T81" s="4">
        <f>(SUM(T10:AI10)-Y10+SUM(T49:AI49)-Y49)/15</f>
        <v>0.007639535022354693</v>
      </c>
      <c r="U81" s="8">
        <f aca="true" t="shared" si="99" ref="U81:U95">100*W81/(W81+X81)</f>
        <v>100</v>
      </c>
      <c r="W81" s="4">
        <f t="shared" si="97"/>
        <v>0.007639535022354694</v>
      </c>
      <c r="X81" s="4">
        <f t="shared" si="98"/>
        <v>0</v>
      </c>
    </row>
    <row r="82" spans="18:24" ht="15">
      <c r="R82" s="2" t="str">
        <f t="shared" si="96"/>
        <v>Sc</v>
      </c>
      <c r="S82" s="1" t="s">
        <v>89</v>
      </c>
      <c r="T82" s="4">
        <f>(SUM(T11:AI11)-Y11+SUM(T50:AI50)-Y50)/15</f>
        <v>0.032298453809152326</v>
      </c>
      <c r="U82" s="8">
        <f t="shared" si="99"/>
        <v>83.7161412776357</v>
      </c>
      <c r="W82" s="4">
        <f t="shared" si="97"/>
        <v>0.06145176263713732</v>
      </c>
      <c r="X82" s="4">
        <f t="shared" si="98"/>
        <v>0.011953152710476552</v>
      </c>
    </row>
    <row r="83" spans="18:24" ht="15">
      <c r="R83" s="2" t="str">
        <f t="shared" si="96"/>
        <v>Cr</v>
      </c>
      <c r="S83" s="1" t="s">
        <v>89</v>
      </c>
      <c r="T83" s="4">
        <f>(SUM(T12:AI12)-Y12+SUM(T51:AI51)-Y51)/15</f>
        <v>2.5913161479970412</v>
      </c>
      <c r="U83" s="8">
        <f t="shared" si="99"/>
        <v>72.30101228049745</v>
      </c>
      <c r="W83" s="4">
        <f t="shared" si="97"/>
        <v>2.1021991026921154</v>
      </c>
      <c r="X83" s="4">
        <f t="shared" si="98"/>
        <v>0.8053661393220201</v>
      </c>
    </row>
    <row r="84" spans="18:24" ht="15">
      <c r="R84" s="2" t="str">
        <f t="shared" si="96"/>
        <v>Co</v>
      </c>
      <c r="S84" s="1" t="s">
        <v>89</v>
      </c>
      <c r="T84" s="4">
        <f>(SUM(T13:AI13)-Y13+SUM(T52:AI52)-Y52)/15</f>
        <v>0.24566308611461576</v>
      </c>
      <c r="U84" s="8">
        <f t="shared" si="99"/>
        <v>56.33950756334175</v>
      </c>
      <c r="W84" s="4">
        <f t="shared" si="97"/>
        <v>0.16318474039729736</v>
      </c>
      <c r="X84" s="4">
        <f t="shared" si="98"/>
        <v>0.12646056793954064</v>
      </c>
    </row>
    <row r="85" spans="18:24" ht="15">
      <c r="R85" s="2" t="str">
        <f t="shared" si="96"/>
        <v>Zn</v>
      </c>
      <c r="S85" s="1" t="s">
        <v>89</v>
      </c>
      <c r="T85" s="4">
        <f>(SUM(T14:AI14)-Y14)/15+(SUM(T53:AI53)-Y53)/14</f>
        <v>11.635105019765426</v>
      </c>
      <c r="U85" s="8">
        <f t="shared" si="99"/>
        <v>53.919550642356384</v>
      </c>
      <c r="W85" s="4">
        <f t="shared" si="97"/>
        <v>6.475630042405345</v>
      </c>
      <c r="X85" s="4">
        <f>(SUM(T53:AI53)-Y53)/14</f>
        <v>5.5341696782147825</v>
      </c>
    </row>
    <row r="86" spans="18:24" ht="15">
      <c r="R86" s="2" t="str">
        <f t="shared" si="96"/>
        <v>Ag</v>
      </c>
      <c r="T86" s="4">
        <f aca="true" t="shared" si="100" ref="T86:T95">(SUM(T15:AI15)-Y15+SUM(T54:AI54)-Y54)/15</f>
        <v>0.06890900341768262</v>
      </c>
      <c r="U86" s="8">
        <f t="shared" si="99"/>
        <v>20.71104962258642</v>
      </c>
      <c r="W86" s="4">
        <f t="shared" si="97"/>
        <v>0.01427177789226602</v>
      </c>
      <c r="X86" s="4">
        <f aca="true" t="shared" si="101" ref="X86:X105">(SUM(T54:AI54)-Y54)/15</f>
        <v>0.0546372255254166</v>
      </c>
    </row>
    <row r="87" spans="18:24" ht="15">
      <c r="R87" s="2" t="str">
        <f t="shared" si="96"/>
        <v>Br</v>
      </c>
      <c r="T87" s="4">
        <f t="shared" si="100"/>
        <v>1.175258798400455</v>
      </c>
      <c r="U87" s="8">
        <f t="shared" si="99"/>
        <v>50.3123974430655</v>
      </c>
      <c r="W87" s="4">
        <f t="shared" si="97"/>
        <v>0.5913008776358327</v>
      </c>
      <c r="X87" s="4">
        <f t="shared" si="101"/>
        <v>0.583957920764622</v>
      </c>
    </row>
    <row r="88" spans="18:24" ht="15">
      <c r="R88" s="2" t="str">
        <f t="shared" si="96"/>
        <v>As</v>
      </c>
      <c r="S88" s="1" t="s">
        <v>89</v>
      </c>
      <c r="T88" s="4">
        <f t="shared" si="100"/>
        <v>0.24786033950463357</v>
      </c>
      <c r="U88" s="8">
        <f t="shared" si="99"/>
        <v>74.78033094577172</v>
      </c>
      <c r="W88" s="4">
        <f t="shared" si="97"/>
        <v>0.18535078216487835</v>
      </c>
      <c r="X88" s="4">
        <f t="shared" si="101"/>
        <v>0.06250955733975522</v>
      </c>
    </row>
    <row r="89" spans="18:24" ht="15">
      <c r="R89" s="2" t="str">
        <f t="shared" si="96"/>
        <v>Sb</v>
      </c>
      <c r="S89" s="1" t="s">
        <v>89</v>
      </c>
      <c r="T89" s="4">
        <f t="shared" si="100"/>
        <v>0.38162297243208504</v>
      </c>
      <c r="U89" s="8">
        <f t="shared" si="99"/>
        <v>56.314578311080645</v>
      </c>
      <c r="W89" s="4">
        <f t="shared" si="97"/>
        <v>0.21490936766334023</v>
      </c>
      <c r="X89" s="4">
        <f t="shared" si="101"/>
        <v>0.1667136047687448</v>
      </c>
    </row>
    <row r="90" spans="18:24" ht="15">
      <c r="R90" s="2" t="str">
        <f t="shared" si="96"/>
        <v>Se</v>
      </c>
      <c r="S90" s="1" t="s">
        <v>89</v>
      </c>
      <c r="T90" s="4">
        <f t="shared" si="100"/>
        <v>0.4918102408008881</v>
      </c>
      <c r="U90" s="8">
        <f t="shared" si="99"/>
        <v>68.6042184187632</v>
      </c>
      <c r="W90" s="4">
        <f t="shared" si="97"/>
        <v>0.3374025718048865</v>
      </c>
      <c r="X90" s="4">
        <f t="shared" si="101"/>
        <v>0.15440766899600164</v>
      </c>
    </row>
    <row r="91" spans="18:24" ht="15">
      <c r="R91" s="2" t="str">
        <f t="shared" si="96"/>
        <v>La</v>
      </c>
      <c r="S91" s="1" t="s">
        <v>89</v>
      </c>
      <c r="T91" s="4">
        <f t="shared" si="100"/>
        <v>0.10145638121298074</v>
      </c>
      <c r="U91" s="8">
        <f t="shared" si="99"/>
        <v>31.303466516934833</v>
      </c>
      <c r="W91" s="4">
        <f t="shared" si="97"/>
        <v>0.03358626673434701</v>
      </c>
      <c r="X91" s="4">
        <f t="shared" si="101"/>
        <v>0.07370621704273629</v>
      </c>
    </row>
    <row r="92" spans="18:24" ht="15">
      <c r="R92" s="2" t="str">
        <f t="shared" si="96"/>
        <v>Ce</v>
      </c>
      <c r="S92" s="1" t="s">
        <v>89</v>
      </c>
      <c r="T92" s="4">
        <f t="shared" si="100"/>
        <v>0.14756533858694929</v>
      </c>
      <c r="U92" s="8">
        <f t="shared" si="99"/>
        <v>51.924621621261494</v>
      </c>
      <c r="W92" s="4">
        <f t="shared" si="97"/>
        <v>0.0766227437054068</v>
      </c>
      <c r="X92" s="4">
        <f t="shared" si="101"/>
        <v>0.07094259488154249</v>
      </c>
    </row>
    <row r="93" spans="18:24" ht="15">
      <c r="R93" s="2" t="str">
        <f t="shared" si="96"/>
        <v>Nd</v>
      </c>
      <c r="T93" s="4">
        <f t="shared" si="100"/>
        <v>0.046658930837571375</v>
      </c>
      <c r="U93" s="8">
        <f t="shared" si="99"/>
        <v>100</v>
      </c>
      <c r="W93" s="4">
        <f t="shared" si="97"/>
        <v>0.046658930837571375</v>
      </c>
      <c r="X93" s="4">
        <f t="shared" si="101"/>
        <v>0</v>
      </c>
    </row>
    <row r="94" spans="18:24" ht="15">
      <c r="R94" s="2" t="str">
        <f t="shared" si="96"/>
        <v>Sm</v>
      </c>
      <c r="S94" s="1" t="s">
        <v>89</v>
      </c>
      <c r="T94" s="4">
        <f t="shared" si="100"/>
        <v>0.04015356214357278</v>
      </c>
      <c r="U94" s="8">
        <f t="shared" si="99"/>
        <v>63.6175137130225</v>
      </c>
      <c r="W94" s="4">
        <f t="shared" si="97"/>
        <v>0.025544697902954425</v>
      </c>
      <c r="X94" s="4">
        <f t="shared" si="101"/>
        <v>0.014608864240618356</v>
      </c>
    </row>
    <row r="95" spans="18:24" ht="15">
      <c r="R95" s="2" t="str">
        <f t="shared" si="96"/>
        <v>Eu</v>
      </c>
      <c r="T95" s="4">
        <f t="shared" si="100"/>
        <v>0.008793287960758964</v>
      </c>
      <c r="U95" s="8">
        <f t="shared" si="99"/>
        <v>80.46410883481002</v>
      </c>
      <c r="W95" s="4">
        <f t="shared" si="97"/>
        <v>0.01299644382306978</v>
      </c>
      <c r="X95" s="4">
        <f t="shared" si="101"/>
        <v>0.0031554082402532853</v>
      </c>
    </row>
    <row r="96" spans="18:24" ht="15">
      <c r="R96" s="2" t="str">
        <f t="shared" si="96"/>
        <v>Gd</v>
      </c>
      <c r="T96" s="5" t="s">
        <v>84</v>
      </c>
      <c r="U96" s="9" t="s">
        <v>84</v>
      </c>
      <c r="W96" s="4">
        <f t="shared" si="97"/>
        <v>0</v>
      </c>
      <c r="X96" s="4">
        <f t="shared" si="101"/>
        <v>0</v>
      </c>
    </row>
    <row r="97" spans="18:24" ht="15">
      <c r="R97" s="2" t="str">
        <f t="shared" si="96"/>
        <v>Tb</v>
      </c>
      <c r="T97" s="4">
        <f>(SUM(T26:AI26)-Y26+SUM(T65:AI65)-Y65)/15</f>
        <v>0.0025460625984759723</v>
      </c>
      <c r="U97" s="8">
        <f>100*W97/(W97+X97)</f>
        <v>51.139561037443535</v>
      </c>
      <c r="W97" s="4">
        <f t="shared" si="97"/>
        <v>0.0013020452365991406</v>
      </c>
      <c r="X97" s="4">
        <f t="shared" si="101"/>
        <v>0.0012440173618768315</v>
      </c>
    </row>
    <row r="98" spans="18:24" ht="15">
      <c r="R98" s="2" t="str">
        <f t="shared" si="96"/>
        <v>Tm</v>
      </c>
      <c r="T98" s="5" t="s">
        <v>84</v>
      </c>
      <c r="U98" s="9" t="s">
        <v>84</v>
      </c>
      <c r="W98" s="4">
        <f t="shared" si="97"/>
        <v>0</v>
      </c>
      <c r="X98" s="4">
        <f t="shared" si="101"/>
        <v>0</v>
      </c>
    </row>
    <row r="99" spans="18:24" ht="15">
      <c r="R99" s="2" t="str">
        <f t="shared" si="96"/>
        <v>Yb</v>
      </c>
      <c r="T99" s="4">
        <f>(SUM(T28:AI28)-Y28+SUM(T67:AI67)-Y67)/15</f>
        <v>0.007402279279808361</v>
      </c>
      <c r="U99" s="8">
        <f>100*W99/(W99+X99)</f>
        <v>58.27088285915512</v>
      </c>
      <c r="W99" s="4">
        <f t="shared" si="97"/>
        <v>0.005003380427774453</v>
      </c>
      <c r="X99" s="4">
        <f t="shared" si="101"/>
        <v>0.003583035604170661</v>
      </c>
    </row>
    <row r="100" spans="18:24" ht="15">
      <c r="R100" s="2" t="str">
        <f t="shared" si="96"/>
        <v>Hf</v>
      </c>
      <c r="T100" s="4">
        <f>(SUM(T29:AI29)-Y29+SUM(T68:AI68)-Y68)/15</f>
        <v>0.010915856734218212</v>
      </c>
      <c r="U100" s="8">
        <f>100*W100/(W100+X100)</f>
        <v>65.92263294489445</v>
      </c>
      <c r="W100" s="4">
        <f t="shared" si="97"/>
        <v>0.007196020167689213</v>
      </c>
      <c r="X100" s="4">
        <f t="shared" si="101"/>
        <v>0.0037198365665289984</v>
      </c>
    </row>
    <row r="101" spans="18:24" ht="15">
      <c r="R101" s="2" t="str">
        <f t="shared" si="96"/>
        <v>Ta</v>
      </c>
      <c r="T101" s="4">
        <f>(SUM(T30:AI30)-Y30+SUM(T69:AI69)-Y69)/15</f>
        <v>0.006886853783753858</v>
      </c>
      <c r="U101" s="8">
        <f>100*W101/(W101+X101)</f>
        <v>26.10516654894054</v>
      </c>
      <c r="W101" s="4">
        <f t="shared" si="97"/>
        <v>0.0017978246502309582</v>
      </c>
      <c r="X101" s="4">
        <f t="shared" si="101"/>
        <v>0.0050890291335229</v>
      </c>
    </row>
    <row r="102" spans="18:24" ht="15">
      <c r="R102" s="2" t="str">
        <f t="shared" si="96"/>
        <v>Ir</v>
      </c>
      <c r="T102" s="4">
        <f>(SUM(T31:AI31)-Y31+SUM(T70:AI70)-Y70)/15</f>
        <v>0.003521384123496024</v>
      </c>
      <c r="U102" s="8">
        <f>100*W102/(W102+X102)</f>
        <v>92.03171080436675</v>
      </c>
      <c r="W102" s="4">
        <f t="shared" si="97"/>
        <v>0.004097046797404023</v>
      </c>
      <c r="X102" s="4">
        <f t="shared" si="101"/>
        <v>0.0003547304884851633</v>
      </c>
    </row>
    <row r="103" spans="18:24" ht="15">
      <c r="R103" s="2" t="str">
        <f t="shared" si="96"/>
        <v>Th</v>
      </c>
      <c r="T103" s="4">
        <f>(SUM(T32:AI32)-Y32+SUM(T71:AI71)-Y71)/15</f>
        <v>0.04572743868485129</v>
      </c>
      <c r="U103" s="8">
        <f>100*W103/(W103+X103)</f>
        <v>78.57000419587084</v>
      </c>
      <c r="W103" s="4">
        <f t="shared" si="97"/>
        <v>0.06184567587742985</v>
      </c>
      <c r="X103" s="4">
        <f t="shared" si="101"/>
        <v>0.016868429474088103</v>
      </c>
    </row>
    <row r="104" spans="18:24" ht="15">
      <c r="R104" s="2" t="str">
        <f t="shared" si="96"/>
        <v>Rb </v>
      </c>
      <c r="T104" s="6" t="s">
        <v>84</v>
      </c>
      <c r="U104" s="9" t="s">
        <v>84</v>
      </c>
      <c r="W104" s="4">
        <f t="shared" si="97"/>
        <v>0</v>
      </c>
      <c r="X104" s="4">
        <f t="shared" si="101"/>
        <v>0</v>
      </c>
    </row>
    <row r="105" spans="18:24" ht="15">
      <c r="R105" s="2" t="str">
        <f t="shared" si="96"/>
        <v>Total Mass</v>
      </c>
      <c r="T105" s="7">
        <f>(SUM(T34:AI34)-Y34+SUM(T73:AI73)-Y73)/15</f>
        <v>21143.428981152458</v>
      </c>
      <c r="U105" s="8">
        <f>100*W105/(W105+X105)</f>
        <v>14.491050690977787</v>
      </c>
      <c r="W105" s="8">
        <f t="shared" si="97"/>
        <v>3063.9050752045514</v>
      </c>
      <c r="X105" s="8">
        <f t="shared" si="101"/>
        <v>18079.524345770125</v>
      </c>
    </row>
    <row r="106" ht="15">
      <c r="R106" s="1" t="s">
        <v>84</v>
      </c>
    </row>
    <row r="107" ht="15">
      <c r="R107" s="1" t="s">
        <v>84</v>
      </c>
    </row>
    <row r="108" ht="15">
      <c r="R108" s="1" t="s">
        <v>84</v>
      </c>
    </row>
    <row r="109" ht="15">
      <c r="R109" s="1" t="s">
        <v>84</v>
      </c>
    </row>
    <row r="110" ht="15">
      <c r="R110" s="1" t="s">
        <v>84</v>
      </c>
    </row>
    <row r="111" ht="15">
      <c r="R111" s="1" t="s">
        <v>84</v>
      </c>
    </row>
    <row r="112" ht="15">
      <c r="R112" s="1" t="s">
        <v>84</v>
      </c>
    </row>
    <row r="113" ht="15">
      <c r="R113" s="1" t="s">
        <v>84</v>
      </c>
    </row>
    <row r="114" ht="15">
      <c r="R114" s="1" t="s">
        <v>84</v>
      </c>
    </row>
    <row r="115" ht="15">
      <c r="R115" s="1" t="s">
        <v>84</v>
      </c>
    </row>
    <row r="116" ht="15">
      <c r="R116" s="1" t="s">
        <v>84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&amp;LComplete DataSet 6/3/93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2004-12-07T22:10:09Z</dcterms:created>
  <dcterms:modified xsi:type="dcterms:W3CDTF">2004-12-07T22:11:44Z</dcterms:modified>
  <cp:category/>
  <cp:version/>
  <cp:contentType/>
  <cp:contentStatus/>
</cp:coreProperties>
</file>